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15" yWindow="-15" windowWidth="12840" windowHeight="11640" tabRatio="584" activeTab="1"/>
  </bookViews>
  <sheets>
    <sheet name="Høreapparater" sheetId="10" r:id="rId1"/>
    <sheet name="Tinnitusmaskerere" sheetId="11" r:id="rId2"/>
    <sheet name="Reparasjoner" sheetId="8" r:id="rId3"/>
    <sheet name="Propper" sheetId="9" r:id="rId4"/>
    <sheet name="HA 95-13" sheetId="12" r:id="rId5"/>
    <sheet name="Sum kostnader" sheetId="13" r:id="rId6"/>
  </sheets>
  <externalReferences>
    <externalReference r:id="rId7"/>
    <externalReference r:id="rId8"/>
    <externalReference r:id="rId9"/>
  </externalReferences>
  <definedNames>
    <definedName name="_1.halvår" localSheetId="4">[1]Høreapparat!#REF!</definedName>
    <definedName name="_1.halvår" localSheetId="0">Høreapparater!#REF!</definedName>
    <definedName name="_1.halvår" localSheetId="1">Tinnitusmaskerere!#REF!</definedName>
    <definedName name="_1.halvår">#REF!</definedName>
    <definedName name="_1.kvartal" localSheetId="0">Høreapparater!$I$2</definedName>
    <definedName name="_1.kvartal" localSheetId="1">Tinnitusmaskerere!$I$3</definedName>
    <definedName name="_1.kvartal">#REF!</definedName>
    <definedName name="_2.kvartal" localSheetId="0">Høreapparater!$J$2</definedName>
    <definedName name="_2.kvartal" localSheetId="1">Tinnitusmaskerere!$J$3</definedName>
    <definedName name="_2.kvartal">#REF!</definedName>
    <definedName name="_3.kvartal" localSheetId="0">Høreapparater!$K$2</definedName>
    <definedName name="_3.kvartal" localSheetId="1">Tinnitusmaskerere!$K$3</definedName>
    <definedName name="_3.kvartal">#REF!</definedName>
    <definedName name="_4.kvartal" localSheetId="0">Høreapparater!$L$2</definedName>
    <definedName name="_4.kvartal" localSheetId="1">Tinnitusmaskerere!$L$3</definedName>
    <definedName name="_4.kvartal">#REF!</definedName>
    <definedName name="_xlnm._FilterDatabase" localSheetId="0" hidden="1">Høreapparater!$A$1:$AL$502</definedName>
    <definedName name="_xlnm._FilterDatabase" localSheetId="1" hidden="1">Tinnitusmaskerere!$A$1:$AL$86</definedName>
    <definedName name="_xlnm.Criteria" localSheetId="0">Høreapparater!#REF!</definedName>
    <definedName name="_xlnm.Criteria" localSheetId="1">Tinnitusmaskerere!#REF!</definedName>
    <definedName name="første_halvår">#REF!</definedName>
    <definedName name="Imp" localSheetId="0">Høreapparater!$A$2</definedName>
    <definedName name="Imp" localSheetId="1">Tinnitusmaskerere!$A$3</definedName>
    <definedName name="Imp">#REF!</definedName>
    <definedName name="Kl" localSheetId="4">[1]Høreapparat!#REF!</definedName>
    <definedName name="Kl" localSheetId="0">Høreapparater!#REF!</definedName>
    <definedName name="Kl" localSheetId="1">Tinnitusmaskerere!#REF!</definedName>
    <definedName name="Kl">#REF!</definedName>
    <definedName name="Klasse" localSheetId="4">[1]Høreapparat!#REF!</definedName>
    <definedName name="Klasse" localSheetId="0">Høreapparater!#REF!</definedName>
    <definedName name="Klasse" localSheetId="1">Tinnitusmaskerere!#REF!</definedName>
    <definedName name="Klasse">#REF!</definedName>
    <definedName name="Modell" localSheetId="0">Høreapparater!$D$2</definedName>
    <definedName name="Modell" localSheetId="1">Tinnitusmaskerere!$D$3</definedName>
    <definedName name="Modell">#REF!</definedName>
    <definedName name="Print_Title" localSheetId="0">Høreapparater!$A$1:$M$2</definedName>
    <definedName name="Print_Title" localSheetId="1">Tinnitusmaskerere!$A$1:$M$3</definedName>
    <definedName name="Print_Title">#REF!</definedName>
    <definedName name="Pris" localSheetId="4">[2]Høreapparat!#REF!</definedName>
    <definedName name="Pris" localSheetId="0">Høreapparater!#REF!</definedName>
    <definedName name="Pris" localSheetId="1">Tinnitusmaskerere!#REF!</definedName>
    <definedName name="Pris">#REF!</definedName>
    <definedName name="prisgrense" localSheetId="4">[3]Høreapparat!$E$404</definedName>
    <definedName name="prisgrense" localSheetId="0">Høreapparater!$E$450</definedName>
    <definedName name="prisgrense" localSheetId="1">Tinnitusmaskerere!$E$51</definedName>
    <definedName name="prisgrense">#REF!</definedName>
    <definedName name="PrisgrenseTM">Tinnitusmaskerere!$E$23</definedName>
    <definedName name="Prod" localSheetId="0">Høreapparater!$B$2</definedName>
    <definedName name="Prod" localSheetId="1">Tinnitusmaskerere!$B$3</definedName>
    <definedName name="Prod">#REF!</definedName>
    <definedName name="Sum" localSheetId="0">Høreapparater!$M$2</definedName>
    <definedName name="Sum" localSheetId="1">Tinnitusmaskerere!$M$3</definedName>
    <definedName name="Sum">#REF!</definedName>
    <definedName name="Total" localSheetId="0">Høreapparater!$R$2</definedName>
    <definedName name="Total" localSheetId="1">Tinnitusmaskerere!$R$3</definedName>
    <definedName name="Total">#REF!</definedName>
    <definedName name="Type" localSheetId="0">Høreapparater!$E$2</definedName>
    <definedName name="Type" localSheetId="1">Tinnitusmaskerere!$E$3</definedName>
    <definedName name="Type">#REF!</definedName>
    <definedName name="_xlnm.Print_Area" localSheetId="0">Høreapparater!$A$1:$W$502</definedName>
    <definedName name="_xlnm.Print_Area" localSheetId="2">Reparasjoner!$A$1:$Q$81</definedName>
    <definedName name="_xlnm.Print_Area" localSheetId="1">Tinnitusmaskerere!$A$1:$W$86</definedName>
    <definedName name="_xlnm.Print_Titles" localSheetId="0">Høreapparater!$1:$2</definedName>
    <definedName name="_xlnm.Print_Titles" localSheetId="1">Tinnitusmaskerere!$1:$3</definedName>
    <definedName name="_xlnm.Extract" localSheetId="0">Høreapparater!#REF!</definedName>
    <definedName name="_xlnm.Extract" localSheetId="1">Tinnitusmaskerere!#REF!</definedName>
  </definedNames>
  <calcPr calcId="145621"/>
</workbook>
</file>

<file path=xl/calcChain.xml><?xml version="1.0" encoding="utf-8"?>
<calcChain xmlns="http://schemas.openxmlformats.org/spreadsheetml/2006/main">
  <c r="R14" i="11" l="1"/>
  <c r="R9" i="11"/>
  <c r="R6" i="11"/>
  <c r="W323" i="10"/>
  <c r="V323" i="10"/>
  <c r="U323" i="10"/>
  <c r="T323" i="10"/>
  <c r="S323" i="10"/>
  <c r="R323" i="10"/>
  <c r="V307" i="10" l="1"/>
  <c r="U307" i="10"/>
  <c r="T307" i="10"/>
  <c r="S307" i="10"/>
  <c r="V306" i="10"/>
  <c r="U306" i="10"/>
  <c r="T306" i="10"/>
  <c r="S306" i="10"/>
  <c r="V305" i="10"/>
  <c r="U305" i="10"/>
  <c r="T305" i="10"/>
  <c r="S305" i="10"/>
  <c r="V304" i="10"/>
  <c r="U304" i="10"/>
  <c r="T304" i="10"/>
  <c r="S304" i="10"/>
  <c r="V303" i="10"/>
  <c r="U303" i="10"/>
  <c r="T303" i="10"/>
  <c r="S303" i="10"/>
  <c r="V308" i="10"/>
  <c r="U308" i="10"/>
  <c r="T308" i="10"/>
  <c r="S308" i="10"/>
  <c r="I273" i="10" l="1"/>
  <c r="J273" i="10"/>
  <c r="K273" i="10"/>
  <c r="L273" i="10"/>
  <c r="F28" i="13" l="1"/>
  <c r="F27" i="13"/>
  <c r="F6" i="13"/>
  <c r="D12" i="13"/>
  <c r="D6" i="13"/>
  <c r="D28" i="13"/>
  <c r="E27" i="13"/>
  <c r="C10" i="13" l="1"/>
  <c r="L20" i="11" l="1"/>
  <c r="K20" i="11"/>
  <c r="M19" i="11"/>
  <c r="L19" i="11"/>
  <c r="K19" i="11"/>
  <c r="V491" i="10" l="1"/>
  <c r="U491" i="10"/>
  <c r="T491" i="10"/>
  <c r="S491" i="10"/>
  <c r="R491" i="10"/>
  <c r="M491" i="10"/>
  <c r="V492" i="10"/>
  <c r="U492" i="10"/>
  <c r="T492" i="10"/>
  <c r="S492" i="10"/>
  <c r="R492" i="10"/>
  <c r="M492" i="10"/>
  <c r="V500" i="10"/>
  <c r="U500" i="10"/>
  <c r="T500" i="10"/>
  <c r="S500" i="10"/>
  <c r="R500" i="10"/>
  <c r="M500" i="10"/>
  <c r="V496" i="10"/>
  <c r="U496" i="10"/>
  <c r="T496" i="10"/>
  <c r="S496" i="10"/>
  <c r="R496" i="10"/>
  <c r="M496" i="10"/>
  <c r="V497" i="10"/>
  <c r="U497" i="10"/>
  <c r="T497" i="10"/>
  <c r="S497" i="10"/>
  <c r="R497" i="10"/>
  <c r="M497" i="10"/>
  <c r="V499" i="10"/>
  <c r="U499" i="10"/>
  <c r="T499" i="10"/>
  <c r="S499" i="10"/>
  <c r="R499" i="10"/>
  <c r="M499" i="10"/>
  <c r="V494" i="10"/>
  <c r="U494" i="10"/>
  <c r="T494" i="10"/>
  <c r="S494" i="10"/>
  <c r="R494" i="10"/>
  <c r="M494" i="10"/>
  <c r="V495" i="10"/>
  <c r="U495" i="10"/>
  <c r="T495" i="10"/>
  <c r="S495" i="10"/>
  <c r="R495" i="10"/>
  <c r="M495" i="10"/>
  <c r="V498" i="10"/>
  <c r="U498" i="10"/>
  <c r="T498" i="10"/>
  <c r="S498" i="10"/>
  <c r="R498" i="10"/>
  <c r="M498" i="10"/>
  <c r="V493" i="10"/>
  <c r="U493" i="10"/>
  <c r="T493" i="10"/>
  <c r="S493" i="10"/>
  <c r="R493" i="10"/>
  <c r="M493" i="10"/>
  <c r="L452" i="10"/>
  <c r="K452" i="10"/>
  <c r="J452" i="10"/>
  <c r="B9" i="13"/>
  <c r="C9" i="13" s="1"/>
  <c r="B7" i="13"/>
  <c r="C7" i="13" s="1"/>
  <c r="AA80" i="8"/>
  <c r="R501" i="10" l="1"/>
  <c r="M501" i="10"/>
  <c r="W492" i="10"/>
  <c r="W491" i="10"/>
  <c r="W494" i="10"/>
  <c r="W497" i="10"/>
  <c r="W496" i="10"/>
  <c r="W495" i="10"/>
  <c r="W498" i="10"/>
  <c r="W499" i="10"/>
  <c r="W500" i="10"/>
  <c r="W493" i="10"/>
  <c r="Z79" i="8"/>
  <c r="Z78" i="8"/>
  <c r="Z77" i="8"/>
  <c r="Z76" i="8"/>
  <c r="Z75" i="8"/>
  <c r="Z80" i="8" s="1"/>
  <c r="W501" i="10" l="1"/>
  <c r="T16" i="12"/>
  <c r="T32" i="12" s="1"/>
  <c r="S16" i="12"/>
  <c r="S32" i="12" s="1"/>
  <c r="R16" i="12"/>
  <c r="R32" i="12" s="1"/>
  <c r="Q16" i="12"/>
  <c r="Q32" i="12" s="1"/>
  <c r="P16" i="12"/>
  <c r="P32" i="12" s="1"/>
  <c r="O16" i="12"/>
  <c r="O32" i="12" s="1"/>
  <c r="M16" i="12"/>
  <c r="M32" i="12" s="1"/>
  <c r="J16" i="12"/>
  <c r="J32" i="12" s="1"/>
  <c r="I16" i="12"/>
  <c r="I32" i="12" s="1"/>
  <c r="H16" i="12"/>
  <c r="H32" i="12" s="1"/>
  <c r="G16" i="12"/>
  <c r="G32" i="12" s="1"/>
  <c r="F16" i="12"/>
  <c r="F32" i="12" s="1"/>
  <c r="E16" i="12"/>
  <c r="N15" i="12"/>
  <c r="N16" i="12" s="1"/>
  <c r="N32" i="12" s="1"/>
  <c r="L15" i="12"/>
  <c r="L16" i="12" s="1"/>
  <c r="L32" i="12" s="1"/>
  <c r="K15" i="12"/>
  <c r="K16" i="12" s="1"/>
  <c r="K32" i="12" s="1"/>
  <c r="C15" i="12"/>
  <c r="B15" i="12"/>
  <c r="L483" i="10" l="1"/>
  <c r="V407" i="10" l="1"/>
  <c r="U407" i="10"/>
  <c r="T407" i="10"/>
  <c r="S407" i="10"/>
  <c r="R407" i="10"/>
  <c r="V406" i="10"/>
  <c r="U406" i="10"/>
  <c r="T406" i="10"/>
  <c r="S406" i="10"/>
  <c r="R406" i="10"/>
  <c r="V405" i="10"/>
  <c r="U405" i="10"/>
  <c r="T405" i="10"/>
  <c r="S405" i="10"/>
  <c r="R405" i="10"/>
  <c r="W407" i="10" l="1"/>
  <c r="W406" i="10"/>
  <c r="W405" i="10"/>
  <c r="N79" i="8" l="1"/>
  <c r="N78" i="8"/>
  <c r="N77" i="8"/>
  <c r="N76" i="8"/>
  <c r="N75" i="8"/>
  <c r="M79" i="8"/>
  <c r="M78" i="8"/>
  <c r="M77" i="8"/>
  <c r="M76" i="8"/>
  <c r="M75" i="8"/>
  <c r="L79" i="8"/>
  <c r="L78" i="8"/>
  <c r="L77" i="8"/>
  <c r="L76" i="8"/>
  <c r="L75" i="8"/>
  <c r="K79" i="8"/>
  <c r="K78" i="8"/>
  <c r="K77" i="8"/>
  <c r="K76" i="8"/>
  <c r="K75" i="8"/>
  <c r="L428" i="10" l="1"/>
  <c r="L422" i="10"/>
  <c r="L427" i="10"/>
  <c r="L482" i="10" l="1"/>
  <c r="L367" i="10" l="1"/>
  <c r="L343" i="10"/>
  <c r="L323" i="10"/>
  <c r="L308" i="10"/>
  <c r="L301" i="10"/>
  <c r="L297" i="10"/>
  <c r="L267" i="10"/>
  <c r="L244" i="10"/>
  <c r="L91" i="10"/>
  <c r="L416" i="10" s="1"/>
  <c r="V414" i="10" l="1"/>
  <c r="V413" i="10"/>
  <c r="V412" i="10"/>
  <c r="V411" i="10"/>
  <c r="V410" i="10"/>
  <c r="V409" i="10"/>
  <c r="V408" i="10"/>
  <c r="V404" i="10"/>
  <c r="V403" i="10"/>
  <c r="V402" i="10"/>
  <c r="V401" i="10"/>
  <c r="V400" i="10"/>
  <c r="V399" i="10"/>
  <c r="V398" i="10"/>
  <c r="V397" i="10"/>
  <c r="V396" i="10"/>
  <c r="V395" i="10"/>
  <c r="V394" i="10"/>
  <c r="V393" i="10"/>
  <c r="V392" i="10"/>
  <c r="V391" i="10"/>
  <c r="V390" i="10"/>
  <c r="V389" i="10"/>
  <c r="V388" i="10"/>
  <c r="V387" i="10"/>
  <c r="V386" i="10"/>
  <c r="V385" i="10"/>
  <c r="V384" i="10"/>
  <c r="V383" i="10"/>
  <c r="V382" i="10"/>
  <c r="V381" i="10"/>
  <c r="V380" i="10"/>
  <c r="V379" i="10"/>
  <c r="I452" i="10" l="1"/>
  <c r="M428" i="10" l="1"/>
  <c r="J428" i="10"/>
  <c r="K428" i="10"/>
  <c r="K427" i="10"/>
  <c r="J427" i="10"/>
  <c r="I427" i="10"/>
  <c r="I428" i="10" l="1"/>
  <c r="K422" i="10"/>
  <c r="J422" i="10"/>
  <c r="I422" i="10"/>
  <c r="I421" i="10"/>
  <c r="I423" i="10" l="1"/>
  <c r="V341" i="10"/>
  <c r="V337" i="10"/>
  <c r="V332" i="10"/>
  <c r="V330" i="10"/>
  <c r="V328" i="10"/>
  <c r="M341" i="10" l="1"/>
  <c r="M339" i="10"/>
  <c r="M337" i="10"/>
  <c r="M332" i="10"/>
  <c r="M330" i="10"/>
  <c r="M328" i="10"/>
  <c r="W330" i="10"/>
  <c r="U341" i="10"/>
  <c r="T341" i="10"/>
  <c r="S341" i="10"/>
  <c r="U339" i="10"/>
  <c r="T339" i="10"/>
  <c r="S339" i="10"/>
  <c r="U337" i="10"/>
  <c r="T337" i="10"/>
  <c r="S337" i="10"/>
  <c r="U332" i="10"/>
  <c r="T332" i="10"/>
  <c r="S332" i="10"/>
  <c r="U328" i="10"/>
  <c r="T328" i="10"/>
  <c r="S328" i="10"/>
  <c r="R341" i="10"/>
  <c r="R339" i="10"/>
  <c r="R337" i="10"/>
  <c r="R332" i="10"/>
  <c r="R330" i="10"/>
  <c r="R328" i="10"/>
  <c r="W328" i="10" l="1"/>
  <c r="W332" i="10"/>
  <c r="W339" i="10"/>
  <c r="W341" i="10"/>
  <c r="W337" i="10"/>
  <c r="K367" i="10" l="1"/>
  <c r="K343" i="10"/>
  <c r="K323" i="10"/>
  <c r="K308" i="10"/>
  <c r="K301" i="10"/>
  <c r="K297" i="10"/>
  <c r="K267" i="10"/>
  <c r="K244" i="10"/>
  <c r="K91" i="10"/>
  <c r="K416" i="10" l="1"/>
  <c r="V320" i="10"/>
  <c r="U320" i="10"/>
  <c r="T320" i="10"/>
  <c r="S320" i="10"/>
  <c r="R320" i="10"/>
  <c r="M320" i="10"/>
  <c r="V316" i="10"/>
  <c r="U316" i="10"/>
  <c r="T316" i="10"/>
  <c r="S316" i="10"/>
  <c r="R316" i="10"/>
  <c r="M316" i="10"/>
  <c r="V313" i="10"/>
  <c r="U313" i="10"/>
  <c r="T313" i="10"/>
  <c r="S313" i="10"/>
  <c r="R313" i="10"/>
  <c r="M313" i="10"/>
  <c r="V311" i="10"/>
  <c r="U311" i="10"/>
  <c r="T311" i="10"/>
  <c r="S311" i="10"/>
  <c r="R311" i="10"/>
  <c r="M311" i="10"/>
  <c r="V251" i="10"/>
  <c r="U251" i="10"/>
  <c r="T251" i="10"/>
  <c r="S251" i="10"/>
  <c r="R251" i="10"/>
  <c r="M251" i="10"/>
  <c r="V249" i="10"/>
  <c r="U249" i="10"/>
  <c r="T249" i="10"/>
  <c r="S249" i="10"/>
  <c r="R249" i="10"/>
  <c r="M249" i="10"/>
  <c r="V123" i="10"/>
  <c r="U123" i="10"/>
  <c r="T123" i="10"/>
  <c r="S123" i="10"/>
  <c r="R123" i="10"/>
  <c r="M123" i="10"/>
  <c r="V122" i="10"/>
  <c r="U122" i="10"/>
  <c r="T122" i="10"/>
  <c r="S122" i="10"/>
  <c r="R122" i="10"/>
  <c r="M122" i="10"/>
  <c r="V121" i="10"/>
  <c r="U121" i="10"/>
  <c r="T121" i="10"/>
  <c r="S121" i="10"/>
  <c r="R121" i="10"/>
  <c r="M121" i="10"/>
  <c r="V120" i="10"/>
  <c r="U120" i="10"/>
  <c r="T120" i="10"/>
  <c r="S120" i="10"/>
  <c r="R120" i="10"/>
  <c r="M120" i="10"/>
  <c r="V119" i="10"/>
  <c r="U119" i="10"/>
  <c r="T119" i="10"/>
  <c r="S119" i="10"/>
  <c r="R119" i="10"/>
  <c r="M119" i="10"/>
  <c r="V118" i="10"/>
  <c r="U118" i="10"/>
  <c r="T118" i="10"/>
  <c r="S118" i="10"/>
  <c r="R118" i="10"/>
  <c r="M118" i="10"/>
  <c r="V104" i="10"/>
  <c r="U104" i="10"/>
  <c r="T104" i="10"/>
  <c r="S104" i="10"/>
  <c r="R104" i="10"/>
  <c r="M104" i="10"/>
  <c r="V103" i="10"/>
  <c r="U103" i="10"/>
  <c r="T103" i="10"/>
  <c r="S103" i="10"/>
  <c r="R103" i="10"/>
  <c r="M103" i="10"/>
  <c r="V102" i="10"/>
  <c r="U102" i="10"/>
  <c r="T102" i="10"/>
  <c r="S102" i="10"/>
  <c r="R102" i="10"/>
  <c r="M102" i="10"/>
  <c r="V101" i="10"/>
  <c r="U101" i="10"/>
  <c r="T101" i="10"/>
  <c r="S101" i="10"/>
  <c r="R101" i="10"/>
  <c r="M101" i="10"/>
  <c r="V100" i="10"/>
  <c r="U100" i="10"/>
  <c r="T100" i="10"/>
  <c r="S100" i="10"/>
  <c r="R100" i="10"/>
  <c r="M100" i="10"/>
  <c r="V99" i="10"/>
  <c r="U99" i="10"/>
  <c r="T99" i="10"/>
  <c r="S99" i="10"/>
  <c r="R99" i="10"/>
  <c r="M99" i="10"/>
  <c r="K457" i="10" l="1"/>
  <c r="P422" i="10"/>
  <c r="W311" i="10"/>
  <c r="W249" i="10"/>
  <c r="W316" i="10"/>
  <c r="W313" i="10"/>
  <c r="W320" i="10"/>
  <c r="W251" i="10"/>
  <c r="W121" i="10"/>
  <c r="W119" i="10"/>
  <c r="W123" i="10"/>
  <c r="W122" i="10"/>
  <c r="W120" i="10"/>
  <c r="W118" i="10"/>
  <c r="W104" i="10"/>
  <c r="W99" i="10"/>
  <c r="W103" i="10"/>
  <c r="W101" i="10"/>
  <c r="W102" i="10"/>
  <c r="W100" i="10"/>
  <c r="M41" i="10" l="1"/>
  <c r="M40" i="10"/>
  <c r="M39" i="10"/>
  <c r="M38" i="10"/>
  <c r="M37" i="10"/>
  <c r="V41" i="10"/>
  <c r="U41" i="10"/>
  <c r="T41" i="10"/>
  <c r="S41" i="10"/>
  <c r="R41" i="10"/>
  <c r="V40" i="10"/>
  <c r="U40" i="10"/>
  <c r="T40" i="10"/>
  <c r="S40" i="10"/>
  <c r="R40" i="10"/>
  <c r="V39" i="10"/>
  <c r="U39" i="10"/>
  <c r="T39" i="10"/>
  <c r="S39" i="10"/>
  <c r="R39" i="10"/>
  <c r="V38" i="10"/>
  <c r="U38" i="10"/>
  <c r="T38" i="10"/>
  <c r="S38" i="10"/>
  <c r="R38" i="10"/>
  <c r="V37" i="10"/>
  <c r="U37" i="10"/>
  <c r="T37" i="10"/>
  <c r="S37" i="10"/>
  <c r="R37" i="10"/>
  <c r="W38" i="10" l="1"/>
  <c r="W41" i="10"/>
  <c r="W37" i="10"/>
  <c r="W39" i="10"/>
  <c r="W40" i="10"/>
  <c r="V272" i="10" l="1"/>
  <c r="U272" i="10"/>
  <c r="T272" i="10"/>
  <c r="S272" i="10"/>
  <c r="R272" i="10"/>
  <c r="M272" i="10"/>
  <c r="W272" i="10" l="1"/>
  <c r="M137" i="10"/>
  <c r="M136" i="10"/>
  <c r="M135" i="10"/>
  <c r="M134" i="10"/>
  <c r="M133" i="10"/>
  <c r="V137" i="10"/>
  <c r="U137" i="10"/>
  <c r="T137" i="10"/>
  <c r="S137" i="10"/>
  <c r="R137" i="10"/>
  <c r="V136" i="10"/>
  <c r="U136" i="10"/>
  <c r="T136" i="10"/>
  <c r="S136" i="10"/>
  <c r="R136" i="10"/>
  <c r="V135" i="10"/>
  <c r="U135" i="10"/>
  <c r="T135" i="10"/>
  <c r="S135" i="10"/>
  <c r="R135" i="10"/>
  <c r="V134" i="10"/>
  <c r="U134" i="10"/>
  <c r="T134" i="10"/>
  <c r="S134" i="10"/>
  <c r="R134" i="10"/>
  <c r="V133" i="10"/>
  <c r="U133" i="10"/>
  <c r="T133" i="10"/>
  <c r="S133" i="10"/>
  <c r="R133" i="10"/>
  <c r="W137" i="10" l="1"/>
  <c r="W135" i="10"/>
  <c r="W136" i="10"/>
  <c r="W133" i="10"/>
  <c r="W134" i="10"/>
  <c r="M15" i="10"/>
  <c r="M14" i="10"/>
  <c r="M13" i="10"/>
  <c r="M12" i="10"/>
  <c r="M11" i="10"/>
  <c r="V15" i="10"/>
  <c r="U15" i="10"/>
  <c r="T15" i="10"/>
  <c r="S15" i="10"/>
  <c r="R15" i="10"/>
  <c r="V14" i="10"/>
  <c r="U14" i="10"/>
  <c r="T14" i="10"/>
  <c r="S14" i="10"/>
  <c r="R14" i="10"/>
  <c r="V13" i="10"/>
  <c r="U13" i="10"/>
  <c r="T13" i="10"/>
  <c r="S13" i="10"/>
  <c r="R13" i="10"/>
  <c r="V12" i="10"/>
  <c r="U12" i="10"/>
  <c r="T12" i="10"/>
  <c r="S12" i="10"/>
  <c r="R12" i="10"/>
  <c r="V11" i="10"/>
  <c r="U11" i="10"/>
  <c r="T11" i="10"/>
  <c r="S11" i="10"/>
  <c r="R11" i="10"/>
  <c r="W13" i="10" l="1"/>
  <c r="W11" i="10"/>
  <c r="W15" i="10"/>
  <c r="W14" i="10"/>
  <c r="W12" i="10"/>
  <c r="V172" i="10" l="1"/>
  <c r="U172" i="10"/>
  <c r="T172" i="10"/>
  <c r="S172" i="10"/>
  <c r="R172" i="10"/>
  <c r="V171" i="10"/>
  <c r="U171" i="10"/>
  <c r="T171" i="10"/>
  <c r="S171" i="10"/>
  <c r="R171" i="10"/>
  <c r="V170" i="10"/>
  <c r="U170" i="10"/>
  <c r="T170" i="10"/>
  <c r="S170" i="10"/>
  <c r="R170" i="10"/>
  <c r="V169" i="10"/>
  <c r="U169" i="10"/>
  <c r="T169" i="10"/>
  <c r="S169" i="10"/>
  <c r="R169" i="10"/>
  <c r="V168" i="10"/>
  <c r="U168" i="10"/>
  <c r="T168" i="10"/>
  <c r="S168" i="10"/>
  <c r="R168" i="10"/>
  <c r="V167" i="10"/>
  <c r="U167" i="10"/>
  <c r="T167" i="10"/>
  <c r="S167" i="10"/>
  <c r="R167" i="10"/>
  <c r="V166" i="10"/>
  <c r="U166" i="10"/>
  <c r="T166" i="10"/>
  <c r="S166" i="10"/>
  <c r="R166" i="10"/>
  <c r="M172" i="10"/>
  <c r="M171" i="10"/>
  <c r="M170" i="10"/>
  <c r="M169" i="10"/>
  <c r="M168" i="10"/>
  <c r="M167" i="10"/>
  <c r="M166" i="10"/>
  <c r="W171" i="10" l="1"/>
  <c r="W167" i="10"/>
  <c r="W172" i="10"/>
  <c r="W168" i="10"/>
  <c r="W170" i="10"/>
  <c r="W166" i="10"/>
  <c r="W169" i="10"/>
  <c r="V150" i="10" l="1"/>
  <c r="U150" i="10"/>
  <c r="T150" i="10"/>
  <c r="S150" i="10"/>
  <c r="R150" i="10"/>
  <c r="V149" i="10"/>
  <c r="U149" i="10"/>
  <c r="T149" i="10"/>
  <c r="S149" i="10"/>
  <c r="R149" i="10"/>
  <c r="V148" i="10"/>
  <c r="U148" i="10"/>
  <c r="T148" i="10"/>
  <c r="S148" i="10"/>
  <c r="R148" i="10"/>
  <c r="V147" i="10"/>
  <c r="U147" i="10"/>
  <c r="T147" i="10"/>
  <c r="S147" i="10"/>
  <c r="R147" i="10"/>
  <c r="V146" i="10"/>
  <c r="U146" i="10"/>
  <c r="T146" i="10"/>
  <c r="S146" i="10"/>
  <c r="R146" i="10"/>
  <c r="V145" i="10"/>
  <c r="U145" i="10"/>
  <c r="T145" i="10"/>
  <c r="S145" i="10"/>
  <c r="R145" i="10"/>
  <c r="M150" i="10"/>
  <c r="M149" i="10"/>
  <c r="M148" i="10"/>
  <c r="M147" i="10"/>
  <c r="M146" i="10"/>
  <c r="M145" i="10"/>
  <c r="M144" i="10"/>
  <c r="W150" i="10" l="1"/>
  <c r="W146" i="10"/>
  <c r="W149" i="10"/>
  <c r="W148" i="10"/>
  <c r="W145" i="10"/>
  <c r="W147" i="10"/>
  <c r="L480" i="10" l="1"/>
  <c r="K480" i="10"/>
  <c r="J480" i="10"/>
  <c r="O70" i="8" l="1"/>
  <c r="O69" i="8"/>
  <c r="Q69" i="8" s="1"/>
  <c r="F69" i="8"/>
  <c r="H69" i="8" s="1"/>
  <c r="O68" i="8"/>
  <c r="Q68" i="8" s="1"/>
  <c r="F68" i="8"/>
  <c r="H68" i="8" s="1"/>
  <c r="O67" i="8"/>
  <c r="Q67" i="8" s="1"/>
  <c r="F67" i="8"/>
  <c r="H67" i="8" s="1"/>
  <c r="O66" i="8"/>
  <c r="Q66" i="8" s="1"/>
  <c r="Q70" i="8" s="1"/>
  <c r="F66" i="8"/>
  <c r="H66" i="8" s="1"/>
  <c r="H70" i="8" s="1"/>
  <c r="J485" i="10" l="1"/>
  <c r="J478" i="10"/>
  <c r="R413" i="10"/>
  <c r="U413" i="10"/>
  <c r="T413" i="10"/>
  <c r="S413" i="10"/>
  <c r="M413" i="10"/>
  <c r="W413" i="10" l="1"/>
  <c r="J484" i="10" l="1"/>
  <c r="J482" i="10" l="1"/>
  <c r="L28" i="11" l="1"/>
  <c r="K28" i="11"/>
  <c r="J28" i="11"/>
  <c r="I28" i="11"/>
  <c r="L27" i="11"/>
  <c r="K27" i="11"/>
  <c r="J27" i="11"/>
  <c r="I27" i="11"/>
  <c r="J25" i="11"/>
  <c r="J479" i="10"/>
  <c r="J477" i="10" l="1"/>
  <c r="U396" i="10" l="1"/>
  <c r="T396" i="10"/>
  <c r="S396" i="10"/>
  <c r="U395" i="10"/>
  <c r="T395" i="10"/>
  <c r="S395" i="10"/>
  <c r="W396" i="10" l="1"/>
  <c r="W395" i="10"/>
  <c r="R396" i="10"/>
  <c r="R395" i="10"/>
  <c r="M396" i="10"/>
  <c r="M395" i="10"/>
  <c r="J483" i="10"/>
  <c r="J481" i="10" l="1"/>
  <c r="L29" i="11" l="1"/>
  <c r="K29" i="11"/>
  <c r="J29" i="11"/>
  <c r="I29" i="11"/>
  <c r="L26" i="11"/>
  <c r="K26" i="11"/>
  <c r="J26" i="11"/>
  <c r="I26" i="11"/>
  <c r="L25" i="11"/>
  <c r="K25" i="11"/>
  <c r="I25" i="11"/>
  <c r="V13" i="11"/>
  <c r="U13" i="11"/>
  <c r="T13" i="11"/>
  <c r="S13" i="11"/>
  <c r="V12" i="11"/>
  <c r="U12" i="11"/>
  <c r="T12" i="11"/>
  <c r="S12" i="11"/>
  <c r="V10" i="11"/>
  <c r="U10" i="11"/>
  <c r="T10" i="11"/>
  <c r="S10" i="11"/>
  <c r="V8" i="11"/>
  <c r="U8" i="11"/>
  <c r="T8" i="11"/>
  <c r="S8" i="11"/>
  <c r="V7" i="11"/>
  <c r="U7" i="11"/>
  <c r="T7" i="11"/>
  <c r="S7" i="11"/>
  <c r="V5" i="11"/>
  <c r="U5" i="11"/>
  <c r="T5" i="11"/>
  <c r="S5" i="11"/>
  <c r="V4" i="11"/>
  <c r="U4" i="11"/>
  <c r="T4" i="11"/>
  <c r="S4" i="11"/>
  <c r="V17" i="11"/>
  <c r="U17" i="11"/>
  <c r="T17" i="11"/>
  <c r="V16" i="11"/>
  <c r="U16" i="11"/>
  <c r="T16" i="11"/>
  <c r="V18" i="11"/>
  <c r="U18" i="11"/>
  <c r="T18" i="11"/>
  <c r="S18" i="11"/>
  <c r="S17" i="11"/>
  <c r="S16" i="11"/>
  <c r="M17" i="11"/>
  <c r="M16" i="11"/>
  <c r="R16" i="11"/>
  <c r="R17" i="11"/>
  <c r="R18" i="11"/>
  <c r="M18" i="11"/>
  <c r="W17" i="11" l="1"/>
  <c r="W16" i="11"/>
  <c r="W18" i="11"/>
  <c r="R19" i="11" l="1"/>
  <c r="W19" i="11"/>
  <c r="J19" i="11"/>
  <c r="I19" i="11"/>
  <c r="I50" i="11" l="1"/>
  <c r="J50" i="11"/>
  <c r="K50" i="11"/>
  <c r="L50" i="11"/>
  <c r="I52" i="11"/>
  <c r="J52" i="11"/>
  <c r="K52" i="11"/>
  <c r="L52" i="11"/>
  <c r="I53" i="11"/>
  <c r="I76" i="11"/>
  <c r="J76" i="11"/>
  <c r="K76" i="11"/>
  <c r="L76" i="11"/>
  <c r="M76" i="11"/>
  <c r="R76" i="11"/>
  <c r="W76" i="11"/>
  <c r="I77" i="11"/>
  <c r="J77" i="11"/>
  <c r="K77" i="11"/>
  <c r="L77" i="11"/>
  <c r="M77" i="11"/>
  <c r="R77" i="11"/>
  <c r="W77" i="11"/>
  <c r="I78" i="11"/>
  <c r="J78" i="11"/>
  <c r="K78" i="11"/>
  <c r="L78" i="11"/>
  <c r="M78" i="11"/>
  <c r="R78" i="11"/>
  <c r="W78" i="11"/>
  <c r="I79" i="11"/>
  <c r="J79" i="11"/>
  <c r="K79" i="11"/>
  <c r="L79" i="11"/>
  <c r="I80" i="11"/>
  <c r="J80" i="11"/>
  <c r="K80" i="11"/>
  <c r="L80" i="11"/>
  <c r="M80" i="11"/>
  <c r="R80" i="11"/>
  <c r="W80" i="11"/>
  <c r="I81" i="11"/>
  <c r="J81" i="11"/>
  <c r="K81" i="11"/>
  <c r="L81" i="11"/>
  <c r="M81" i="11"/>
  <c r="R81" i="11"/>
  <c r="W81" i="11"/>
  <c r="I82" i="11"/>
  <c r="J82" i="11"/>
  <c r="K82" i="11"/>
  <c r="L82" i="11"/>
  <c r="I83" i="11"/>
  <c r="J83" i="11"/>
  <c r="K83" i="11"/>
  <c r="L83" i="11"/>
  <c r="M83" i="11"/>
  <c r="R83" i="11"/>
  <c r="W83" i="11"/>
  <c r="I84" i="11"/>
  <c r="J84" i="11"/>
  <c r="K84" i="11"/>
  <c r="L84" i="11"/>
  <c r="M84" i="11"/>
  <c r="R84" i="11"/>
  <c r="W84" i="11"/>
  <c r="S85" i="11"/>
  <c r="T85" i="11"/>
  <c r="U85" i="11"/>
  <c r="L85" i="11" l="1"/>
  <c r="I85" i="11"/>
  <c r="N76" i="11" s="1"/>
  <c r="M50" i="11"/>
  <c r="N80" i="11"/>
  <c r="N83" i="11"/>
  <c r="N84" i="11"/>
  <c r="N79" i="11"/>
  <c r="N82" i="11"/>
  <c r="N77" i="11"/>
  <c r="K85" i="11"/>
  <c r="P82" i="11" s="1"/>
  <c r="J85" i="11"/>
  <c r="O77" i="11" s="1"/>
  <c r="N81" i="11" l="1"/>
  <c r="N78" i="11"/>
  <c r="N85" i="11" s="1"/>
  <c r="O76" i="11"/>
  <c r="O85" i="11" s="1"/>
  <c r="P83" i="11"/>
  <c r="O81" i="11"/>
  <c r="P77" i="11"/>
  <c r="P79" i="11"/>
  <c r="P80" i="11"/>
  <c r="O80" i="11"/>
  <c r="P81" i="11"/>
  <c r="P78" i="11"/>
  <c r="O82" i="11"/>
  <c r="O83" i="11"/>
  <c r="O79" i="11"/>
  <c r="P76" i="11"/>
  <c r="O84" i="11"/>
  <c r="P84" i="11"/>
  <c r="O78" i="11"/>
  <c r="I367" i="10"/>
  <c r="I425" i="10"/>
  <c r="L14" i="11" l="1"/>
  <c r="K14" i="11"/>
  <c r="J14" i="11"/>
  <c r="J20" i="11" s="1"/>
  <c r="I14" i="11"/>
  <c r="I20" i="11" s="1"/>
  <c r="R13" i="11"/>
  <c r="M13" i="11"/>
  <c r="R12" i="11"/>
  <c r="M12" i="11"/>
  <c r="M29" i="11" s="1"/>
  <c r="R10" i="11"/>
  <c r="M10" i="11"/>
  <c r="M28" i="11" s="1"/>
  <c r="R8" i="11"/>
  <c r="M8" i="11"/>
  <c r="R7" i="11"/>
  <c r="M7" i="11"/>
  <c r="M25" i="11" s="1"/>
  <c r="R5" i="11"/>
  <c r="M5" i="11"/>
  <c r="R4" i="11"/>
  <c r="M4" i="11"/>
  <c r="M27" i="11" s="1"/>
  <c r="R82" i="11" l="1"/>
  <c r="M82" i="11"/>
  <c r="M26" i="11"/>
  <c r="M79" i="11"/>
  <c r="R79" i="11"/>
  <c r="W8" i="11"/>
  <c r="W10" i="11"/>
  <c r="W5" i="11"/>
  <c r="V19" i="11"/>
  <c r="M14" i="11"/>
  <c r="W7" i="11"/>
  <c r="V14" i="11"/>
  <c r="V20" i="11" s="1"/>
  <c r="W12" i="11"/>
  <c r="T14" i="11"/>
  <c r="T20" i="11" s="1"/>
  <c r="S19" i="11"/>
  <c r="U14" i="11"/>
  <c r="U20" i="11" s="1"/>
  <c r="W4" i="11"/>
  <c r="S14" i="11"/>
  <c r="S20" i="11" s="1"/>
  <c r="U19" i="11"/>
  <c r="T19" i="11"/>
  <c r="W13" i="11"/>
  <c r="S501" i="10"/>
  <c r="T501" i="10"/>
  <c r="R85" i="11" l="1"/>
  <c r="X82" i="11" s="1"/>
  <c r="M85" i="11"/>
  <c r="Q82" i="11" s="1"/>
  <c r="W79" i="11"/>
  <c r="R20" i="11"/>
  <c r="R21" i="11" s="1"/>
  <c r="M20" i="11"/>
  <c r="M54" i="11" s="1"/>
  <c r="W82" i="11"/>
  <c r="Q26" i="11"/>
  <c r="L56" i="11"/>
  <c r="L54" i="11"/>
  <c r="L55" i="11"/>
  <c r="L51" i="11"/>
  <c r="N25" i="11"/>
  <c r="I56" i="11"/>
  <c r="I54" i="11"/>
  <c r="I55" i="11"/>
  <c r="I51" i="11"/>
  <c r="Q78" i="11"/>
  <c r="Q76" i="11"/>
  <c r="Q83" i="11"/>
  <c r="Q77" i="11"/>
  <c r="Q84" i="11"/>
  <c r="Q80" i="11"/>
  <c r="Q81" i="11"/>
  <c r="Q79" i="11"/>
  <c r="K56" i="11"/>
  <c r="K55" i="11"/>
  <c r="K54" i="11"/>
  <c r="K51" i="11"/>
  <c r="O27" i="11"/>
  <c r="J56" i="11"/>
  <c r="J54" i="11"/>
  <c r="J55" i="11"/>
  <c r="J51" i="11"/>
  <c r="X77" i="11"/>
  <c r="X83" i="11"/>
  <c r="X80" i="11"/>
  <c r="X78" i="11"/>
  <c r="X84" i="11"/>
  <c r="X76" i="11"/>
  <c r="X81" i="11"/>
  <c r="X79" i="11"/>
  <c r="P26" i="11"/>
  <c r="P28" i="11"/>
  <c r="P27" i="11"/>
  <c r="W14" i="11"/>
  <c r="W20" i="11" s="1"/>
  <c r="B5" i="13" s="1"/>
  <c r="C5" i="13" s="1"/>
  <c r="R29" i="11"/>
  <c r="P25" i="11"/>
  <c r="L21" i="11"/>
  <c r="N27" i="11"/>
  <c r="O28" i="11"/>
  <c r="O25" i="11"/>
  <c r="O26" i="11"/>
  <c r="Q28" i="11"/>
  <c r="N28" i="11"/>
  <c r="Q27" i="11"/>
  <c r="N26" i="11"/>
  <c r="Q25" i="11"/>
  <c r="R28" i="11"/>
  <c r="F33" i="8"/>
  <c r="H33" i="8" s="1"/>
  <c r="M56" i="11" l="1"/>
  <c r="M55" i="11"/>
  <c r="M51" i="11"/>
  <c r="W85" i="11"/>
  <c r="R25" i="11"/>
  <c r="R26" i="11"/>
  <c r="R27" i="11"/>
  <c r="W21" i="11"/>
  <c r="X85" i="11"/>
  <c r="M30" i="11"/>
  <c r="O29" i="11"/>
  <c r="O30" i="11" s="1"/>
  <c r="J30" i="11"/>
  <c r="P29" i="11"/>
  <c r="P30" i="11" s="1"/>
  <c r="K30" i="11"/>
  <c r="R30" i="11"/>
  <c r="Q29" i="11"/>
  <c r="Q30" i="11" s="1"/>
  <c r="L30" i="11"/>
  <c r="N29" i="11"/>
  <c r="N30" i="11" s="1"/>
  <c r="I30" i="11"/>
  <c r="T20" i="9"/>
  <c r="V20" i="9" s="1"/>
  <c r="L31" i="11" l="1"/>
  <c r="I449" i="10"/>
  <c r="O24" i="8" l="1"/>
  <c r="Q24" i="8" s="1"/>
  <c r="F24" i="8"/>
  <c r="H24" i="8" s="1"/>
  <c r="T382" i="10" l="1"/>
  <c r="S382" i="10"/>
  <c r="T381" i="10"/>
  <c r="S381" i="10"/>
  <c r="T380" i="10"/>
  <c r="S380" i="10"/>
  <c r="T379" i="10"/>
  <c r="S379" i="10"/>
  <c r="T388" i="10"/>
  <c r="S388" i="10"/>
  <c r="T387" i="10"/>
  <c r="S387" i="10"/>
  <c r="T386" i="10"/>
  <c r="S386" i="10"/>
  <c r="M198" i="10"/>
  <c r="M199" i="10"/>
  <c r="M200" i="10"/>
  <c r="M201" i="10"/>
  <c r="M202" i="10"/>
  <c r="M203" i="10"/>
  <c r="M204" i="10"/>
  <c r="M205" i="10"/>
  <c r="F62" i="8" l="1"/>
  <c r="H62" i="8" s="1"/>
  <c r="V366" i="10" l="1"/>
  <c r="U366" i="10"/>
  <c r="T366" i="10"/>
  <c r="S366" i="10"/>
  <c r="R366" i="10"/>
  <c r="M366" i="10"/>
  <c r="V365" i="10"/>
  <c r="U365" i="10"/>
  <c r="T365" i="10"/>
  <c r="S365" i="10"/>
  <c r="R365" i="10"/>
  <c r="M365" i="10"/>
  <c r="V364" i="10"/>
  <c r="U364" i="10"/>
  <c r="T364" i="10"/>
  <c r="S364" i="10"/>
  <c r="R364" i="10"/>
  <c r="M364" i="10"/>
  <c r="V363" i="10"/>
  <c r="U363" i="10"/>
  <c r="T363" i="10"/>
  <c r="S363" i="10"/>
  <c r="R363" i="10"/>
  <c r="M363" i="10"/>
  <c r="V362" i="10"/>
  <c r="U362" i="10"/>
  <c r="T362" i="10"/>
  <c r="S362" i="10"/>
  <c r="R362" i="10"/>
  <c r="M362" i="10"/>
  <c r="V361" i="10"/>
  <c r="U361" i="10"/>
  <c r="T361" i="10"/>
  <c r="S361" i="10"/>
  <c r="R361" i="10"/>
  <c r="M361" i="10"/>
  <c r="V360" i="10"/>
  <c r="U360" i="10"/>
  <c r="T360" i="10"/>
  <c r="S360" i="10"/>
  <c r="R360" i="10"/>
  <c r="M360" i="10"/>
  <c r="V359" i="10"/>
  <c r="U359" i="10"/>
  <c r="T359" i="10"/>
  <c r="S359" i="10"/>
  <c r="R359" i="10"/>
  <c r="M359" i="10"/>
  <c r="V358" i="10"/>
  <c r="U358" i="10"/>
  <c r="T358" i="10"/>
  <c r="S358" i="10"/>
  <c r="R358" i="10"/>
  <c r="M358" i="10"/>
  <c r="V357" i="10"/>
  <c r="U357" i="10"/>
  <c r="T357" i="10"/>
  <c r="S357" i="10"/>
  <c r="R357" i="10"/>
  <c r="M357" i="10"/>
  <c r="V356" i="10"/>
  <c r="U356" i="10"/>
  <c r="T356" i="10"/>
  <c r="S356" i="10"/>
  <c r="R356" i="10"/>
  <c r="M356" i="10"/>
  <c r="V355" i="10"/>
  <c r="U355" i="10"/>
  <c r="T355" i="10"/>
  <c r="S355" i="10"/>
  <c r="R355" i="10"/>
  <c r="M355" i="10"/>
  <c r="V354" i="10"/>
  <c r="U354" i="10"/>
  <c r="T354" i="10"/>
  <c r="S354" i="10"/>
  <c r="R354" i="10"/>
  <c r="M354" i="10"/>
  <c r="V353" i="10"/>
  <c r="U353" i="10"/>
  <c r="T353" i="10"/>
  <c r="S353" i="10"/>
  <c r="R353" i="10"/>
  <c r="M353" i="10"/>
  <c r="V352" i="10"/>
  <c r="U352" i="10"/>
  <c r="T352" i="10"/>
  <c r="S352" i="10"/>
  <c r="R352" i="10"/>
  <c r="M352" i="10"/>
  <c r="V351" i="10"/>
  <c r="U351" i="10"/>
  <c r="T351" i="10"/>
  <c r="S351" i="10"/>
  <c r="R351" i="10"/>
  <c r="M351" i="10"/>
  <c r="V350" i="10"/>
  <c r="U350" i="10"/>
  <c r="T350" i="10"/>
  <c r="S350" i="10"/>
  <c r="R350" i="10"/>
  <c r="M350" i="10"/>
  <c r="V349" i="10"/>
  <c r="U349" i="10"/>
  <c r="T349" i="10"/>
  <c r="S349" i="10"/>
  <c r="R349" i="10"/>
  <c r="M349" i="10"/>
  <c r="V348" i="10"/>
  <c r="U348" i="10"/>
  <c r="T348" i="10"/>
  <c r="S348" i="10"/>
  <c r="R348" i="10"/>
  <c r="M348" i="10"/>
  <c r="V347" i="10"/>
  <c r="U347" i="10"/>
  <c r="T347" i="10"/>
  <c r="S347" i="10"/>
  <c r="R347" i="10"/>
  <c r="M347" i="10"/>
  <c r="V346" i="10"/>
  <c r="U346" i="10"/>
  <c r="T346" i="10"/>
  <c r="S346" i="10"/>
  <c r="R346" i="10"/>
  <c r="M346" i="10"/>
  <c r="V345" i="10"/>
  <c r="U345" i="10"/>
  <c r="T345" i="10"/>
  <c r="S345" i="10"/>
  <c r="R345" i="10"/>
  <c r="M345" i="10"/>
  <c r="W348" i="10" l="1"/>
  <c r="W357" i="10"/>
  <c r="W349" i="10"/>
  <c r="W351" i="10"/>
  <c r="W360" i="10"/>
  <c r="W359" i="10"/>
  <c r="W365" i="10"/>
  <c r="W364" i="10"/>
  <c r="W347" i="10"/>
  <c r="W355" i="10"/>
  <c r="W345" i="10"/>
  <c r="W353" i="10"/>
  <c r="W361" i="10"/>
  <c r="W363" i="10"/>
  <c r="W352" i="10"/>
  <c r="W356" i="10"/>
  <c r="W358" i="10"/>
  <c r="W362" i="10"/>
  <c r="W366" i="10"/>
  <c r="W346" i="10"/>
  <c r="W350" i="10"/>
  <c r="W354" i="10"/>
  <c r="I485" i="10" l="1"/>
  <c r="I484" i="10"/>
  <c r="I483" i="10"/>
  <c r="I481" i="10"/>
  <c r="I480" i="10"/>
  <c r="I482" i="10"/>
  <c r="I479" i="10"/>
  <c r="I478" i="10"/>
  <c r="I477" i="10"/>
  <c r="I91" i="10"/>
  <c r="M229" i="10" l="1"/>
  <c r="M228" i="10"/>
  <c r="M227" i="10"/>
  <c r="M226" i="10"/>
  <c r="M225" i="10"/>
  <c r="M224" i="10"/>
  <c r="M217" i="10"/>
  <c r="M216" i="10"/>
  <c r="M215" i="10"/>
  <c r="M214" i="10"/>
  <c r="M213" i="10"/>
  <c r="M212" i="10"/>
  <c r="V229" i="10"/>
  <c r="U229" i="10"/>
  <c r="T229" i="10"/>
  <c r="S229" i="10"/>
  <c r="R229" i="10"/>
  <c r="V228" i="10"/>
  <c r="U228" i="10"/>
  <c r="T228" i="10"/>
  <c r="S228" i="10"/>
  <c r="R228" i="10"/>
  <c r="V227" i="10"/>
  <c r="U227" i="10"/>
  <c r="T227" i="10"/>
  <c r="S227" i="10"/>
  <c r="R227" i="10"/>
  <c r="V226" i="10"/>
  <c r="U226" i="10"/>
  <c r="T226" i="10"/>
  <c r="S226" i="10"/>
  <c r="R226" i="10"/>
  <c r="V225" i="10"/>
  <c r="U225" i="10"/>
  <c r="T225" i="10"/>
  <c r="S225" i="10"/>
  <c r="R225" i="10"/>
  <c r="V224" i="10"/>
  <c r="U224" i="10"/>
  <c r="T224" i="10"/>
  <c r="S224" i="10"/>
  <c r="R224" i="10"/>
  <c r="V217" i="10"/>
  <c r="U217" i="10"/>
  <c r="T217" i="10"/>
  <c r="S217" i="10"/>
  <c r="R217" i="10"/>
  <c r="V216" i="10"/>
  <c r="U216" i="10"/>
  <c r="T216" i="10"/>
  <c r="S216" i="10"/>
  <c r="R216" i="10"/>
  <c r="V215" i="10"/>
  <c r="U215" i="10"/>
  <c r="T215" i="10"/>
  <c r="S215" i="10"/>
  <c r="R215" i="10"/>
  <c r="V214" i="10"/>
  <c r="U214" i="10"/>
  <c r="T214" i="10"/>
  <c r="S214" i="10"/>
  <c r="R214" i="10"/>
  <c r="V213" i="10"/>
  <c r="U213" i="10"/>
  <c r="T213" i="10"/>
  <c r="S213" i="10"/>
  <c r="R213" i="10"/>
  <c r="V212" i="10"/>
  <c r="U212" i="10"/>
  <c r="T212" i="10"/>
  <c r="S212" i="10"/>
  <c r="R212" i="10"/>
  <c r="W229" i="10" l="1"/>
  <c r="W214" i="10"/>
  <c r="W228" i="10"/>
  <c r="W225" i="10"/>
  <c r="W226" i="10"/>
  <c r="W224" i="10"/>
  <c r="W216" i="10"/>
  <c r="W217" i="10"/>
  <c r="W213" i="10"/>
  <c r="W215" i="10"/>
  <c r="W212" i="10"/>
  <c r="W227" i="10"/>
  <c r="BR47" i="9" l="1"/>
  <c r="BQ47" i="9"/>
  <c r="BP47" i="9"/>
  <c r="BO47" i="9"/>
  <c r="BS47" i="9" s="1"/>
  <c r="BT52" i="9"/>
  <c r="BR52" i="9"/>
  <c r="BQ52" i="9"/>
  <c r="BP52" i="9"/>
  <c r="BO52" i="9"/>
  <c r="BT51" i="9"/>
  <c r="BR51" i="9"/>
  <c r="BQ51" i="9"/>
  <c r="BP51" i="9"/>
  <c r="BO51" i="9"/>
  <c r="BS51" i="9" s="1"/>
  <c r="BT50" i="9"/>
  <c r="BR50" i="9"/>
  <c r="BQ50" i="9"/>
  <c r="BP50" i="9"/>
  <c r="BO50" i="9"/>
  <c r="BT49" i="9"/>
  <c r="BR49" i="9"/>
  <c r="BQ49" i="9"/>
  <c r="BP49" i="9"/>
  <c r="BO49" i="9"/>
  <c r="BS49" i="9" s="1"/>
  <c r="BT48" i="9"/>
  <c r="BR48" i="9"/>
  <c r="BQ48" i="9"/>
  <c r="BP48" i="9"/>
  <c r="BO48" i="9"/>
  <c r="BT43" i="9"/>
  <c r="BR43" i="9"/>
  <c r="BQ43" i="9"/>
  <c r="BP43" i="9"/>
  <c r="BO43" i="9"/>
  <c r="BS43" i="9" s="1"/>
  <c r="AQ43" i="9"/>
  <c r="AS43" i="9" s="1"/>
  <c r="AQ47" i="9"/>
  <c r="AS47" i="9" s="1"/>
  <c r="BT47" i="9" s="1"/>
  <c r="AI52" i="9"/>
  <c r="AK52" i="9" s="1"/>
  <c r="AI51" i="9"/>
  <c r="AK51" i="9" s="1"/>
  <c r="AI50" i="9"/>
  <c r="AK50" i="9" s="1"/>
  <c r="AI49" i="9"/>
  <c r="AK49" i="9" s="1"/>
  <c r="AI48" i="9"/>
  <c r="AK48" i="9" s="1"/>
  <c r="BS52" i="9" l="1"/>
  <c r="BS50" i="9"/>
  <c r="BS48" i="9"/>
  <c r="K449" i="10"/>
  <c r="U394" i="10" l="1"/>
  <c r="T394" i="10"/>
  <c r="S394" i="10"/>
  <c r="R394" i="10"/>
  <c r="U393" i="10"/>
  <c r="T393" i="10"/>
  <c r="S393" i="10"/>
  <c r="R393" i="10"/>
  <c r="U392" i="10"/>
  <c r="T392" i="10"/>
  <c r="S392" i="10"/>
  <c r="R392" i="10"/>
  <c r="U391" i="10"/>
  <c r="T391" i="10"/>
  <c r="S391" i="10"/>
  <c r="R391" i="10"/>
  <c r="M394" i="10"/>
  <c r="M393" i="10"/>
  <c r="M392" i="10"/>
  <c r="M391" i="10"/>
  <c r="W393" i="10" l="1"/>
  <c r="W394" i="10"/>
  <c r="W391" i="10"/>
  <c r="W392" i="10"/>
  <c r="M388" i="10"/>
  <c r="M387" i="10"/>
  <c r="M386" i="10"/>
  <c r="M385" i="10"/>
  <c r="M384" i="10"/>
  <c r="M383" i="10"/>
  <c r="M382" i="10"/>
  <c r="M381" i="10"/>
  <c r="M380" i="10"/>
  <c r="M379" i="10"/>
  <c r="K478" i="10"/>
  <c r="L477" i="10"/>
  <c r="K477" i="10"/>
  <c r="L478" i="10"/>
  <c r="L485" i="10"/>
  <c r="K485" i="10"/>
  <c r="L484" i="10" l="1"/>
  <c r="K484" i="10"/>
  <c r="L481" i="10" l="1"/>
  <c r="K481" i="10"/>
  <c r="L479" i="10" l="1"/>
  <c r="K479" i="10"/>
  <c r="U388" i="10"/>
  <c r="U387" i="10"/>
  <c r="U386" i="10"/>
  <c r="U385" i="10"/>
  <c r="U384" i="10"/>
  <c r="U383" i="10"/>
  <c r="U382" i="10"/>
  <c r="U381" i="10"/>
  <c r="U380" i="10"/>
  <c r="U379" i="10"/>
  <c r="R388" i="10"/>
  <c r="R387" i="10"/>
  <c r="R386" i="10"/>
  <c r="R385" i="10"/>
  <c r="R384" i="10"/>
  <c r="R383" i="10"/>
  <c r="R382" i="10"/>
  <c r="R381" i="10"/>
  <c r="R380" i="10"/>
  <c r="R379" i="10"/>
  <c r="S383" i="10"/>
  <c r="T383" i="10"/>
  <c r="S384" i="10"/>
  <c r="T384" i="10"/>
  <c r="S385" i="10"/>
  <c r="T385" i="10"/>
  <c r="W382" i="10" l="1"/>
  <c r="W379" i="10"/>
  <c r="W385" i="10"/>
  <c r="W388" i="10"/>
  <c r="W383" i="10"/>
  <c r="W387" i="10"/>
  <c r="W380" i="10"/>
  <c r="W381" i="10"/>
  <c r="W386" i="10"/>
  <c r="W384" i="10"/>
  <c r="K482" i="10" l="1"/>
  <c r="K483" i="10"/>
  <c r="V338" i="10" l="1"/>
  <c r="U338" i="10"/>
  <c r="T338" i="10"/>
  <c r="S338" i="10"/>
  <c r="R338" i="10"/>
  <c r="M338" i="10"/>
  <c r="V336" i="10"/>
  <c r="U336" i="10"/>
  <c r="T336" i="10"/>
  <c r="S336" i="10"/>
  <c r="R336" i="10"/>
  <c r="M336" i="10"/>
  <c r="V335" i="10"/>
  <c r="U335" i="10"/>
  <c r="T335" i="10"/>
  <c r="S335" i="10"/>
  <c r="R335" i="10"/>
  <c r="M335" i="10"/>
  <c r="V334" i="10"/>
  <c r="U334" i="10"/>
  <c r="T334" i="10"/>
  <c r="S334" i="10"/>
  <c r="R334" i="10"/>
  <c r="M334" i="10"/>
  <c r="V333" i="10"/>
  <c r="U333" i="10"/>
  <c r="T333" i="10"/>
  <c r="S333" i="10"/>
  <c r="R333" i="10"/>
  <c r="M333" i="10"/>
  <c r="V331" i="10"/>
  <c r="U331" i="10"/>
  <c r="T331" i="10"/>
  <c r="S331" i="10"/>
  <c r="R331" i="10"/>
  <c r="M331" i="10"/>
  <c r="V329" i="10"/>
  <c r="U329" i="10"/>
  <c r="T329" i="10"/>
  <c r="S329" i="10"/>
  <c r="R329" i="10"/>
  <c r="M329" i="10"/>
  <c r="V327" i="10"/>
  <c r="U327" i="10"/>
  <c r="T327" i="10"/>
  <c r="S327" i="10"/>
  <c r="R327" i="10"/>
  <c r="M327" i="10"/>
  <c r="V326" i="10"/>
  <c r="U326" i="10"/>
  <c r="T326" i="10"/>
  <c r="S326" i="10"/>
  <c r="R326" i="10"/>
  <c r="M326" i="10"/>
  <c r="J323" i="10"/>
  <c r="I323" i="10"/>
  <c r="V322" i="10"/>
  <c r="U322" i="10"/>
  <c r="T322" i="10"/>
  <c r="S322" i="10"/>
  <c r="R322" i="10"/>
  <c r="M322" i="10"/>
  <c r="V321" i="10"/>
  <c r="U321" i="10"/>
  <c r="T321" i="10"/>
  <c r="S321" i="10"/>
  <c r="R321" i="10"/>
  <c r="M321" i="10"/>
  <c r="V319" i="10"/>
  <c r="U319" i="10"/>
  <c r="T319" i="10"/>
  <c r="S319" i="10"/>
  <c r="R319" i="10"/>
  <c r="M319" i="10"/>
  <c r="V318" i="10"/>
  <c r="U318" i="10"/>
  <c r="T318" i="10"/>
  <c r="S318" i="10"/>
  <c r="R318" i="10"/>
  <c r="M318" i="10"/>
  <c r="V317" i="10"/>
  <c r="U317" i="10"/>
  <c r="T317" i="10"/>
  <c r="S317" i="10"/>
  <c r="R317" i="10"/>
  <c r="M317" i="10"/>
  <c r="V315" i="10"/>
  <c r="U315" i="10"/>
  <c r="T315" i="10"/>
  <c r="S315" i="10"/>
  <c r="R315" i="10"/>
  <c r="M315" i="10"/>
  <c r="V314" i="10"/>
  <c r="U314" i="10"/>
  <c r="T314" i="10"/>
  <c r="S314" i="10"/>
  <c r="R314" i="10"/>
  <c r="M314" i="10"/>
  <c r="V312" i="10"/>
  <c r="U312" i="10"/>
  <c r="T312" i="10"/>
  <c r="S312" i="10"/>
  <c r="R312" i="10"/>
  <c r="M312" i="10"/>
  <c r="R305" i="10"/>
  <c r="M305" i="10"/>
  <c r="R304" i="10"/>
  <c r="M304" i="10"/>
  <c r="V296" i="10"/>
  <c r="U296" i="10"/>
  <c r="T296" i="10"/>
  <c r="S296" i="10"/>
  <c r="R296" i="10"/>
  <c r="M296" i="10"/>
  <c r="V295" i="10"/>
  <c r="U295" i="10"/>
  <c r="T295" i="10"/>
  <c r="S295" i="10"/>
  <c r="R295" i="10"/>
  <c r="M295" i="10"/>
  <c r="V294" i="10"/>
  <c r="U294" i="10"/>
  <c r="T294" i="10"/>
  <c r="S294" i="10"/>
  <c r="R294" i="10"/>
  <c r="M294" i="10"/>
  <c r="V293" i="10"/>
  <c r="U293" i="10"/>
  <c r="T293" i="10"/>
  <c r="S293" i="10"/>
  <c r="R293" i="10"/>
  <c r="M293" i="10"/>
  <c r="V292" i="10"/>
  <c r="U292" i="10"/>
  <c r="T292" i="10"/>
  <c r="S292" i="10"/>
  <c r="R292" i="10"/>
  <c r="M292" i="10"/>
  <c r="V291" i="10"/>
  <c r="U291" i="10"/>
  <c r="T291" i="10"/>
  <c r="S291" i="10"/>
  <c r="R291" i="10"/>
  <c r="M291" i="10"/>
  <c r="V290" i="10"/>
  <c r="U290" i="10"/>
  <c r="T290" i="10"/>
  <c r="S290" i="10"/>
  <c r="R290" i="10"/>
  <c r="M290" i="10"/>
  <c r="V289" i="10"/>
  <c r="U289" i="10"/>
  <c r="T289" i="10"/>
  <c r="S289" i="10"/>
  <c r="R289" i="10"/>
  <c r="M289" i="10"/>
  <c r="V288" i="10"/>
  <c r="U288" i="10"/>
  <c r="T288" i="10"/>
  <c r="S288" i="10"/>
  <c r="R288" i="10"/>
  <c r="M288" i="10"/>
  <c r="V287" i="10"/>
  <c r="U287" i="10"/>
  <c r="T287" i="10"/>
  <c r="S287" i="10"/>
  <c r="R287" i="10"/>
  <c r="M287" i="10"/>
  <c r="V286" i="10"/>
  <c r="U286" i="10"/>
  <c r="T286" i="10"/>
  <c r="S286" i="10"/>
  <c r="R286" i="10"/>
  <c r="M286" i="10"/>
  <c r="V285" i="10"/>
  <c r="U285" i="10"/>
  <c r="T285" i="10"/>
  <c r="S285" i="10"/>
  <c r="R285" i="10"/>
  <c r="M285" i="10"/>
  <c r="V284" i="10"/>
  <c r="U284" i="10"/>
  <c r="T284" i="10"/>
  <c r="S284" i="10"/>
  <c r="R284" i="10"/>
  <c r="M284" i="10"/>
  <c r="V283" i="10"/>
  <c r="U283" i="10"/>
  <c r="T283" i="10"/>
  <c r="S283" i="10"/>
  <c r="R283" i="10"/>
  <c r="M283" i="10"/>
  <c r="V282" i="10"/>
  <c r="U282" i="10"/>
  <c r="T282" i="10"/>
  <c r="S282" i="10"/>
  <c r="R282" i="10"/>
  <c r="M282" i="10"/>
  <c r="V281" i="10"/>
  <c r="U281" i="10"/>
  <c r="T281" i="10"/>
  <c r="S281" i="10"/>
  <c r="R281" i="10"/>
  <c r="M281" i="10"/>
  <c r="V280" i="10"/>
  <c r="U280" i="10"/>
  <c r="T280" i="10"/>
  <c r="S280" i="10"/>
  <c r="R280" i="10"/>
  <c r="M280" i="10"/>
  <c r="V279" i="10"/>
  <c r="U279" i="10"/>
  <c r="T279" i="10"/>
  <c r="S279" i="10"/>
  <c r="R279" i="10"/>
  <c r="M279" i="10"/>
  <c r="V278" i="10"/>
  <c r="U278" i="10"/>
  <c r="T278" i="10"/>
  <c r="S278" i="10"/>
  <c r="R278" i="10"/>
  <c r="M278" i="10"/>
  <c r="V211" i="10"/>
  <c r="U211" i="10"/>
  <c r="T211" i="10"/>
  <c r="S211" i="10"/>
  <c r="R211" i="10"/>
  <c r="M211" i="10"/>
  <c r="V210" i="10"/>
  <c r="U210" i="10"/>
  <c r="T210" i="10"/>
  <c r="S210" i="10"/>
  <c r="R210" i="10"/>
  <c r="M210" i="10"/>
  <c r="V209" i="10"/>
  <c r="U209" i="10"/>
  <c r="T209" i="10"/>
  <c r="S209" i="10"/>
  <c r="R209" i="10"/>
  <c r="M209" i="10"/>
  <c r="V208" i="10"/>
  <c r="U208" i="10"/>
  <c r="T208" i="10"/>
  <c r="S208" i="10"/>
  <c r="R208" i="10"/>
  <c r="M208" i="10"/>
  <c r="V207" i="10"/>
  <c r="U207" i="10"/>
  <c r="T207" i="10"/>
  <c r="S207" i="10"/>
  <c r="R207" i="10"/>
  <c r="M207" i="10"/>
  <c r="V206" i="10"/>
  <c r="U206" i="10"/>
  <c r="T206" i="10"/>
  <c r="S206" i="10"/>
  <c r="R206" i="10"/>
  <c r="M206" i="10"/>
  <c r="V205" i="10"/>
  <c r="U205" i="10"/>
  <c r="T205" i="10"/>
  <c r="S205" i="10"/>
  <c r="R205" i="10"/>
  <c r="V204" i="10"/>
  <c r="U204" i="10"/>
  <c r="T204" i="10"/>
  <c r="S204" i="10"/>
  <c r="R204" i="10"/>
  <c r="V203" i="10"/>
  <c r="U203" i="10"/>
  <c r="T203" i="10"/>
  <c r="S203" i="10"/>
  <c r="R203" i="10"/>
  <c r="V202" i="10"/>
  <c r="U202" i="10"/>
  <c r="T202" i="10"/>
  <c r="S202" i="10"/>
  <c r="R202" i="10"/>
  <c r="V201" i="10"/>
  <c r="U201" i="10"/>
  <c r="T201" i="10"/>
  <c r="S201" i="10"/>
  <c r="R201" i="10"/>
  <c r="V200" i="10"/>
  <c r="U200" i="10"/>
  <c r="T200" i="10"/>
  <c r="S200" i="10"/>
  <c r="R200" i="10"/>
  <c r="V199" i="10"/>
  <c r="U199" i="10"/>
  <c r="T199" i="10"/>
  <c r="S199" i="10"/>
  <c r="R199" i="10"/>
  <c r="V198" i="10"/>
  <c r="U198" i="10"/>
  <c r="T198" i="10"/>
  <c r="S198" i="10"/>
  <c r="R198" i="10"/>
  <c r="V197" i="10"/>
  <c r="U197" i="10"/>
  <c r="T197" i="10"/>
  <c r="S197" i="10"/>
  <c r="R197" i="10"/>
  <c r="M197" i="10"/>
  <c r="V196" i="10"/>
  <c r="U196" i="10"/>
  <c r="T196" i="10"/>
  <c r="S196" i="10"/>
  <c r="R196" i="10"/>
  <c r="M196" i="10"/>
  <c r="V195" i="10"/>
  <c r="U195" i="10"/>
  <c r="T195" i="10"/>
  <c r="S195" i="10"/>
  <c r="R195" i="10"/>
  <c r="M195" i="10"/>
  <c r="V194" i="10"/>
  <c r="U194" i="10"/>
  <c r="T194" i="10"/>
  <c r="S194" i="10"/>
  <c r="R194" i="10"/>
  <c r="M194" i="10"/>
  <c r="V193" i="10"/>
  <c r="U193" i="10"/>
  <c r="T193" i="10"/>
  <c r="S193" i="10"/>
  <c r="R193" i="10"/>
  <c r="M193" i="10"/>
  <c r="V192" i="10"/>
  <c r="U192" i="10"/>
  <c r="T192" i="10"/>
  <c r="S192" i="10"/>
  <c r="R192" i="10"/>
  <c r="M192" i="10"/>
  <c r="V191" i="10"/>
  <c r="U191" i="10"/>
  <c r="T191" i="10"/>
  <c r="S191" i="10"/>
  <c r="R191" i="10"/>
  <c r="M191" i="10"/>
  <c r="V190" i="10"/>
  <c r="U190" i="10"/>
  <c r="T190" i="10"/>
  <c r="S190" i="10"/>
  <c r="R190" i="10"/>
  <c r="M190" i="10"/>
  <c r="V189" i="10"/>
  <c r="U189" i="10"/>
  <c r="T189" i="10"/>
  <c r="S189" i="10"/>
  <c r="R189" i="10"/>
  <c r="M189" i="10"/>
  <c r="V188" i="10"/>
  <c r="U188" i="10"/>
  <c r="T188" i="10"/>
  <c r="S188" i="10"/>
  <c r="R188" i="10"/>
  <c r="M188" i="10"/>
  <c r="V187" i="10"/>
  <c r="U187" i="10"/>
  <c r="T187" i="10"/>
  <c r="S187" i="10"/>
  <c r="R187" i="10"/>
  <c r="M187" i="10"/>
  <c r="V186" i="10"/>
  <c r="U186" i="10"/>
  <c r="T186" i="10"/>
  <c r="S186" i="10"/>
  <c r="R186" i="10"/>
  <c r="M186" i="10"/>
  <c r="V185" i="10"/>
  <c r="U185" i="10"/>
  <c r="T185" i="10"/>
  <c r="S185" i="10"/>
  <c r="R185" i="10"/>
  <c r="M185" i="10"/>
  <c r="V184" i="10"/>
  <c r="U184" i="10"/>
  <c r="T184" i="10"/>
  <c r="S184" i="10"/>
  <c r="R184" i="10"/>
  <c r="M184" i="10"/>
  <c r="V183" i="10"/>
  <c r="U183" i="10"/>
  <c r="T183" i="10"/>
  <c r="S183" i="10"/>
  <c r="R183" i="10"/>
  <c r="M183" i="10"/>
  <c r="V182" i="10"/>
  <c r="U182" i="10"/>
  <c r="T182" i="10"/>
  <c r="S182" i="10"/>
  <c r="R182" i="10"/>
  <c r="M182" i="10"/>
  <c r="V181" i="10"/>
  <c r="U181" i="10"/>
  <c r="T181" i="10"/>
  <c r="S181" i="10"/>
  <c r="R181" i="10"/>
  <c r="M181" i="10"/>
  <c r="V180" i="10"/>
  <c r="U180" i="10"/>
  <c r="T180" i="10"/>
  <c r="S180" i="10"/>
  <c r="R180" i="10"/>
  <c r="M180" i="10"/>
  <c r="V179" i="10"/>
  <c r="U179" i="10"/>
  <c r="T179" i="10"/>
  <c r="S179" i="10"/>
  <c r="R179" i="10"/>
  <c r="M179" i="10"/>
  <c r="V178" i="10"/>
  <c r="U178" i="10"/>
  <c r="T178" i="10"/>
  <c r="S178" i="10"/>
  <c r="R178" i="10"/>
  <c r="M178" i="10"/>
  <c r="V177" i="10"/>
  <c r="U177" i="10"/>
  <c r="T177" i="10"/>
  <c r="S177" i="10"/>
  <c r="R177" i="10"/>
  <c r="M177" i="10"/>
  <c r="V176" i="10"/>
  <c r="U176" i="10"/>
  <c r="T176" i="10"/>
  <c r="S176" i="10"/>
  <c r="R176" i="10"/>
  <c r="M176" i="10"/>
  <c r="V175" i="10"/>
  <c r="U175" i="10"/>
  <c r="T175" i="10"/>
  <c r="S175" i="10"/>
  <c r="R175" i="10"/>
  <c r="M175" i="10"/>
  <c r="V174" i="10"/>
  <c r="U174" i="10"/>
  <c r="T174" i="10"/>
  <c r="S174" i="10"/>
  <c r="R174" i="10"/>
  <c r="M174" i="10"/>
  <c r="V173" i="10"/>
  <c r="U173" i="10"/>
  <c r="T173" i="10"/>
  <c r="S173" i="10"/>
  <c r="R173" i="10"/>
  <c r="M173" i="10"/>
  <c r="V165" i="10"/>
  <c r="U165" i="10"/>
  <c r="T165" i="10"/>
  <c r="S165" i="10"/>
  <c r="R165" i="10"/>
  <c r="M165" i="10"/>
  <c r="V164" i="10"/>
  <c r="U164" i="10"/>
  <c r="T164" i="10"/>
  <c r="S164" i="10"/>
  <c r="R164" i="10"/>
  <c r="M164" i="10"/>
  <c r="V163" i="10"/>
  <c r="U163" i="10"/>
  <c r="T163" i="10"/>
  <c r="S163" i="10"/>
  <c r="R163" i="10"/>
  <c r="M163" i="10"/>
  <c r="V162" i="10"/>
  <c r="U162" i="10"/>
  <c r="T162" i="10"/>
  <c r="S162" i="10"/>
  <c r="R162" i="10"/>
  <c r="M162" i="10"/>
  <c r="V161" i="10"/>
  <c r="U161" i="10"/>
  <c r="T161" i="10"/>
  <c r="S161" i="10"/>
  <c r="R161" i="10"/>
  <c r="M161" i="10"/>
  <c r="V160" i="10"/>
  <c r="U160" i="10"/>
  <c r="T160" i="10"/>
  <c r="S160" i="10"/>
  <c r="R160" i="10"/>
  <c r="M160" i="10"/>
  <c r="V159" i="10"/>
  <c r="U159" i="10"/>
  <c r="T159" i="10"/>
  <c r="S159" i="10"/>
  <c r="R159" i="10"/>
  <c r="M159" i="10"/>
  <c r="V158" i="10"/>
  <c r="U158" i="10"/>
  <c r="T158" i="10"/>
  <c r="S158" i="10"/>
  <c r="R158" i="10"/>
  <c r="M158" i="10"/>
  <c r="V157" i="10"/>
  <c r="U157" i="10"/>
  <c r="T157" i="10"/>
  <c r="S157" i="10"/>
  <c r="R157" i="10"/>
  <c r="M157" i="10"/>
  <c r="V156" i="10"/>
  <c r="U156" i="10"/>
  <c r="T156" i="10"/>
  <c r="S156" i="10"/>
  <c r="R156" i="10"/>
  <c r="M156" i="10"/>
  <c r="V155" i="10"/>
  <c r="U155" i="10"/>
  <c r="T155" i="10"/>
  <c r="S155" i="10"/>
  <c r="R155" i="10"/>
  <c r="M155" i="10"/>
  <c r="V154" i="10"/>
  <c r="U154" i="10"/>
  <c r="T154" i="10"/>
  <c r="S154" i="10"/>
  <c r="R154" i="10"/>
  <c r="M154" i="10"/>
  <c r="V153" i="10"/>
  <c r="U153" i="10"/>
  <c r="T153" i="10"/>
  <c r="S153" i="10"/>
  <c r="R153" i="10"/>
  <c r="M153" i="10"/>
  <c r="V152" i="10"/>
  <c r="U152" i="10"/>
  <c r="T152" i="10"/>
  <c r="S152" i="10"/>
  <c r="R152" i="10"/>
  <c r="M152" i="10"/>
  <c r="V151" i="10"/>
  <c r="U151" i="10"/>
  <c r="T151" i="10"/>
  <c r="S151" i="10"/>
  <c r="R151" i="10"/>
  <c r="M151" i="10"/>
  <c r="V144" i="10"/>
  <c r="U144" i="10"/>
  <c r="T144" i="10"/>
  <c r="S144" i="10"/>
  <c r="R144" i="10"/>
  <c r="V143" i="10"/>
  <c r="U143" i="10"/>
  <c r="T143" i="10"/>
  <c r="S143" i="10"/>
  <c r="R143" i="10"/>
  <c r="M143" i="10"/>
  <c r="V142" i="10"/>
  <c r="U142" i="10"/>
  <c r="T142" i="10"/>
  <c r="S142" i="10"/>
  <c r="R142" i="10"/>
  <c r="M142" i="10"/>
  <c r="V141" i="10"/>
  <c r="U141" i="10"/>
  <c r="T141" i="10"/>
  <c r="S141" i="10"/>
  <c r="R141" i="10"/>
  <c r="M141" i="10"/>
  <c r="V140" i="10"/>
  <c r="U140" i="10"/>
  <c r="T140" i="10"/>
  <c r="S140" i="10"/>
  <c r="R140" i="10"/>
  <c r="M140" i="10"/>
  <c r="V139" i="10"/>
  <c r="U139" i="10"/>
  <c r="T139" i="10"/>
  <c r="S139" i="10"/>
  <c r="R139" i="10"/>
  <c r="M139" i="10"/>
  <c r="V138" i="10"/>
  <c r="U138" i="10"/>
  <c r="T138" i="10"/>
  <c r="S138" i="10"/>
  <c r="R138" i="10"/>
  <c r="M138" i="10"/>
  <c r="V132" i="10"/>
  <c r="U132" i="10"/>
  <c r="T132" i="10"/>
  <c r="S132" i="10"/>
  <c r="R132" i="10"/>
  <c r="M132" i="10"/>
  <c r="V131" i="10"/>
  <c r="U131" i="10"/>
  <c r="T131" i="10"/>
  <c r="S131" i="10"/>
  <c r="R131" i="10"/>
  <c r="M131" i="10"/>
  <c r="V130" i="10"/>
  <c r="U130" i="10"/>
  <c r="T130" i="10"/>
  <c r="S130" i="10"/>
  <c r="R130" i="10"/>
  <c r="M130" i="10"/>
  <c r="V129" i="10"/>
  <c r="U129" i="10"/>
  <c r="T129" i="10"/>
  <c r="S129" i="10"/>
  <c r="R129" i="10"/>
  <c r="M129" i="10"/>
  <c r="V128" i="10"/>
  <c r="U128" i="10"/>
  <c r="T128" i="10"/>
  <c r="S128" i="10"/>
  <c r="R128" i="10"/>
  <c r="M128" i="10"/>
  <c r="V127" i="10"/>
  <c r="U127" i="10"/>
  <c r="T127" i="10"/>
  <c r="S127" i="10"/>
  <c r="R127" i="10"/>
  <c r="M127" i="10"/>
  <c r="V126" i="10"/>
  <c r="U126" i="10"/>
  <c r="T126" i="10"/>
  <c r="S126" i="10"/>
  <c r="R126" i="10"/>
  <c r="M126" i="10"/>
  <c r="V125" i="10"/>
  <c r="U125" i="10"/>
  <c r="T125" i="10"/>
  <c r="S125" i="10"/>
  <c r="R125" i="10"/>
  <c r="M125" i="10"/>
  <c r="V124" i="10"/>
  <c r="U124" i="10"/>
  <c r="T124" i="10"/>
  <c r="S124" i="10"/>
  <c r="R124" i="10"/>
  <c r="M124" i="10"/>
  <c r="V117" i="10"/>
  <c r="U117" i="10"/>
  <c r="T117" i="10"/>
  <c r="S117" i="10"/>
  <c r="R117" i="10"/>
  <c r="M117" i="10"/>
  <c r="V116" i="10"/>
  <c r="U116" i="10"/>
  <c r="T116" i="10"/>
  <c r="S116" i="10"/>
  <c r="R116" i="10"/>
  <c r="M116" i="10"/>
  <c r="V115" i="10"/>
  <c r="U115" i="10"/>
  <c r="T115" i="10"/>
  <c r="S115" i="10"/>
  <c r="R115" i="10"/>
  <c r="M115" i="10"/>
  <c r="V114" i="10"/>
  <c r="U114" i="10"/>
  <c r="T114" i="10"/>
  <c r="S114" i="10"/>
  <c r="R114" i="10"/>
  <c r="M114" i="10"/>
  <c r="V113" i="10"/>
  <c r="U113" i="10"/>
  <c r="T113" i="10"/>
  <c r="S113" i="10"/>
  <c r="R113" i="10"/>
  <c r="M113" i="10"/>
  <c r="V112" i="10"/>
  <c r="U112" i="10"/>
  <c r="T112" i="10"/>
  <c r="S112" i="10"/>
  <c r="R112" i="10"/>
  <c r="M112" i="10"/>
  <c r="V111" i="10"/>
  <c r="U111" i="10"/>
  <c r="T111" i="10"/>
  <c r="S111" i="10"/>
  <c r="R111" i="10"/>
  <c r="M111" i="10"/>
  <c r="V90" i="10"/>
  <c r="U90" i="10"/>
  <c r="T90" i="10"/>
  <c r="S90" i="10"/>
  <c r="R90" i="10"/>
  <c r="M90" i="10"/>
  <c r="V89" i="10"/>
  <c r="U89" i="10"/>
  <c r="T89" i="10"/>
  <c r="S89" i="10"/>
  <c r="R89" i="10"/>
  <c r="M89" i="10"/>
  <c r="V88" i="10"/>
  <c r="U88" i="10"/>
  <c r="T88" i="10"/>
  <c r="S88" i="10"/>
  <c r="R88" i="10"/>
  <c r="M88" i="10"/>
  <c r="V87" i="10"/>
  <c r="U87" i="10"/>
  <c r="T87" i="10"/>
  <c r="S87" i="10"/>
  <c r="R87" i="10"/>
  <c r="M87" i="10"/>
  <c r="V86" i="10"/>
  <c r="U86" i="10"/>
  <c r="T86" i="10"/>
  <c r="S86" i="10"/>
  <c r="R86" i="10"/>
  <c r="M86" i="10"/>
  <c r="V85" i="10"/>
  <c r="U85" i="10"/>
  <c r="T85" i="10"/>
  <c r="S85" i="10"/>
  <c r="R85" i="10"/>
  <c r="M85" i="10"/>
  <c r="V84" i="10"/>
  <c r="U84" i="10"/>
  <c r="T84" i="10"/>
  <c r="S84" i="10"/>
  <c r="R84" i="10"/>
  <c r="M84" i="10"/>
  <c r="V83" i="10"/>
  <c r="U83" i="10"/>
  <c r="T83" i="10"/>
  <c r="S83" i="10"/>
  <c r="R83" i="10"/>
  <c r="M83" i="10"/>
  <c r="V82" i="10"/>
  <c r="U82" i="10"/>
  <c r="T82" i="10"/>
  <c r="S82" i="10"/>
  <c r="R82" i="10"/>
  <c r="M82" i="10"/>
  <c r="V81" i="10"/>
  <c r="U81" i="10"/>
  <c r="T81" i="10"/>
  <c r="S81" i="10"/>
  <c r="R81" i="10"/>
  <c r="M81" i="10"/>
  <c r="V80" i="10"/>
  <c r="U80" i="10"/>
  <c r="T80" i="10"/>
  <c r="S80" i="10"/>
  <c r="R80" i="10"/>
  <c r="M80" i="10"/>
  <c r="V79" i="10"/>
  <c r="U79" i="10"/>
  <c r="T79" i="10"/>
  <c r="S79" i="10"/>
  <c r="R79" i="10"/>
  <c r="M79" i="10"/>
  <c r="V78" i="10"/>
  <c r="U78" i="10"/>
  <c r="T78" i="10"/>
  <c r="S78" i="10"/>
  <c r="R78" i="10"/>
  <c r="M78" i="10"/>
  <c r="V77" i="10"/>
  <c r="U77" i="10"/>
  <c r="T77" i="10"/>
  <c r="S77" i="10"/>
  <c r="R77" i="10"/>
  <c r="M77" i="10"/>
  <c r="V76" i="10"/>
  <c r="U76" i="10"/>
  <c r="T76" i="10"/>
  <c r="S76" i="10"/>
  <c r="R76" i="10"/>
  <c r="M76" i="10"/>
  <c r="V75" i="10"/>
  <c r="U75" i="10"/>
  <c r="T75" i="10"/>
  <c r="S75" i="10"/>
  <c r="R75" i="10"/>
  <c r="M75" i="10"/>
  <c r="V74" i="10"/>
  <c r="U74" i="10"/>
  <c r="T74" i="10"/>
  <c r="S74" i="10"/>
  <c r="R74" i="10"/>
  <c r="M74" i="10"/>
  <c r="V73" i="10"/>
  <c r="U73" i="10"/>
  <c r="T73" i="10"/>
  <c r="S73" i="10"/>
  <c r="R73" i="10"/>
  <c r="M73" i="10"/>
  <c r="V72" i="10"/>
  <c r="U72" i="10"/>
  <c r="T72" i="10"/>
  <c r="S72" i="10"/>
  <c r="R72" i="10"/>
  <c r="M72" i="10"/>
  <c r="V71" i="10"/>
  <c r="U71" i="10"/>
  <c r="T71" i="10"/>
  <c r="S71" i="10"/>
  <c r="R71" i="10"/>
  <c r="M71" i="10"/>
  <c r="V70" i="10"/>
  <c r="U70" i="10"/>
  <c r="T70" i="10"/>
  <c r="S70" i="10"/>
  <c r="R70" i="10"/>
  <c r="M70" i="10"/>
  <c r="V69" i="10"/>
  <c r="U69" i="10"/>
  <c r="T69" i="10"/>
  <c r="S69" i="10"/>
  <c r="R69" i="10"/>
  <c r="M69" i="10"/>
  <c r="V68" i="10"/>
  <c r="U68" i="10"/>
  <c r="T68" i="10"/>
  <c r="S68" i="10"/>
  <c r="R68" i="10"/>
  <c r="M68" i="10"/>
  <c r="V67" i="10"/>
  <c r="U67" i="10"/>
  <c r="T67" i="10"/>
  <c r="S67" i="10"/>
  <c r="R67" i="10"/>
  <c r="M67" i="10"/>
  <c r="V66" i="10"/>
  <c r="U66" i="10"/>
  <c r="T66" i="10"/>
  <c r="S66" i="10"/>
  <c r="R66" i="10"/>
  <c r="M66" i="10"/>
  <c r="V65" i="10"/>
  <c r="U65" i="10"/>
  <c r="T65" i="10"/>
  <c r="S65" i="10"/>
  <c r="R65" i="10"/>
  <c r="M65" i="10"/>
  <c r="V64" i="10"/>
  <c r="U64" i="10"/>
  <c r="T64" i="10"/>
  <c r="S64" i="10"/>
  <c r="R64" i="10"/>
  <c r="M64" i="10"/>
  <c r="V63" i="10"/>
  <c r="U63" i="10"/>
  <c r="T63" i="10"/>
  <c r="S63" i="10"/>
  <c r="R63" i="10"/>
  <c r="M63" i="10"/>
  <c r="V62" i="10"/>
  <c r="U62" i="10"/>
  <c r="T62" i="10"/>
  <c r="S62" i="10"/>
  <c r="R62" i="10"/>
  <c r="M62" i="10"/>
  <c r="V61" i="10"/>
  <c r="U61" i="10"/>
  <c r="T61" i="10"/>
  <c r="S61" i="10"/>
  <c r="R61" i="10"/>
  <c r="M61" i="10"/>
  <c r="V60" i="10"/>
  <c r="U60" i="10"/>
  <c r="T60" i="10"/>
  <c r="S60" i="10"/>
  <c r="R60" i="10"/>
  <c r="M60" i="10"/>
  <c r="V59" i="10"/>
  <c r="U59" i="10"/>
  <c r="T59" i="10"/>
  <c r="S59" i="10"/>
  <c r="R59" i="10"/>
  <c r="M59" i="10"/>
  <c r="V58" i="10"/>
  <c r="U58" i="10"/>
  <c r="T58" i="10"/>
  <c r="S58" i="10"/>
  <c r="R58" i="10"/>
  <c r="M58" i="10"/>
  <c r="V57" i="10"/>
  <c r="U57" i="10"/>
  <c r="T57" i="10"/>
  <c r="S57" i="10"/>
  <c r="R57" i="10"/>
  <c r="M57" i="10"/>
  <c r="W338" i="10" l="1"/>
  <c r="W321" i="10"/>
  <c r="W336" i="10"/>
  <c r="W334" i="10"/>
  <c r="W327" i="10"/>
  <c r="W333" i="10"/>
  <c r="W329" i="10"/>
  <c r="W326" i="10"/>
  <c r="W314" i="10"/>
  <c r="W335" i="10"/>
  <c r="W331" i="10"/>
  <c r="W296" i="10"/>
  <c r="W319" i="10"/>
  <c r="W322" i="10"/>
  <c r="W312" i="10"/>
  <c r="W317" i="10"/>
  <c r="W318" i="10"/>
  <c r="W315" i="10"/>
  <c r="W282" i="10"/>
  <c r="W290" i="10"/>
  <c r="W305" i="10"/>
  <c r="W67" i="10"/>
  <c r="W83" i="10"/>
  <c r="W183" i="10"/>
  <c r="W281" i="10"/>
  <c r="W289" i="10"/>
  <c r="W304" i="10"/>
  <c r="W279" i="10"/>
  <c r="W295" i="10"/>
  <c r="W293" i="10"/>
  <c r="W284" i="10"/>
  <c r="W280" i="10"/>
  <c r="W288" i="10"/>
  <c r="W285" i="10"/>
  <c r="W287" i="10"/>
  <c r="W292" i="10"/>
  <c r="W85" i="10"/>
  <c r="W140" i="10"/>
  <c r="W113" i="10"/>
  <c r="W283" i="10"/>
  <c r="W294" i="10"/>
  <c r="W278" i="10"/>
  <c r="W291" i="10"/>
  <c r="W286" i="10"/>
  <c r="W153" i="10"/>
  <c r="W176" i="10"/>
  <c r="W192" i="10"/>
  <c r="W65" i="10"/>
  <c r="W81" i="10"/>
  <c r="W117" i="10"/>
  <c r="W131" i="10"/>
  <c r="W144" i="10"/>
  <c r="W158" i="10"/>
  <c r="W173" i="10"/>
  <c r="W181" i="10"/>
  <c r="W189" i="10"/>
  <c r="W197" i="10"/>
  <c r="W205" i="10"/>
  <c r="W64" i="10"/>
  <c r="W72" i="10"/>
  <c r="W80" i="10"/>
  <c r="W88" i="10"/>
  <c r="W202" i="10"/>
  <c r="W114" i="10"/>
  <c r="W163" i="10"/>
  <c r="W186" i="10"/>
  <c r="W200" i="10"/>
  <c r="W141" i="10"/>
  <c r="W112" i="10"/>
  <c r="W184" i="10"/>
  <c r="W204" i="10"/>
  <c r="W199" i="10"/>
  <c r="W152" i="10"/>
  <c r="W175" i="10"/>
  <c r="W191" i="10"/>
  <c r="W207" i="10"/>
  <c r="W128" i="10"/>
  <c r="W155" i="10"/>
  <c r="W178" i="10"/>
  <c r="W194" i="10"/>
  <c r="W210" i="10"/>
  <c r="W115" i="10"/>
  <c r="W129" i="10"/>
  <c r="W139" i="10"/>
  <c r="W142" i="10"/>
  <c r="W156" i="10"/>
  <c r="W161" i="10"/>
  <c r="W187" i="10"/>
  <c r="W195" i="10"/>
  <c r="W203" i="10"/>
  <c r="W127" i="10"/>
  <c r="W154" i="10"/>
  <c r="W193" i="10"/>
  <c r="W126" i="10"/>
  <c r="W159" i="10"/>
  <c r="W174" i="10"/>
  <c r="W182" i="10"/>
  <c r="W151" i="10"/>
  <c r="W138" i="10"/>
  <c r="W165" i="10"/>
  <c r="W180" i="10"/>
  <c r="W125" i="10"/>
  <c r="W160" i="10"/>
  <c r="W177" i="10"/>
  <c r="W188" i="10"/>
  <c r="W196" i="10"/>
  <c r="W209" i="10"/>
  <c r="W124" i="10"/>
  <c r="W132" i="10"/>
  <c r="W164" i="10"/>
  <c r="W179" i="10"/>
  <c r="W208" i="10"/>
  <c r="W211" i="10"/>
  <c r="W162" i="10"/>
  <c r="W190" i="10"/>
  <c r="W198" i="10"/>
  <c r="W116" i="10"/>
  <c r="W130" i="10"/>
  <c r="W185" i="10"/>
  <c r="W206" i="10"/>
  <c r="W111" i="10"/>
  <c r="W143" i="10"/>
  <c r="W157" i="10"/>
  <c r="W201" i="10"/>
  <c r="W62" i="10"/>
  <c r="W70" i="10"/>
  <c r="W78" i="10"/>
  <c r="W86" i="10"/>
  <c r="W82" i="10"/>
  <c r="W57" i="10"/>
  <c r="W73" i="10"/>
  <c r="W89" i="10"/>
  <c r="W60" i="10"/>
  <c r="W76" i="10"/>
  <c r="W63" i="10"/>
  <c r="W68" i="10"/>
  <c r="W71" i="10"/>
  <c r="W79" i="10"/>
  <c r="W84" i="10"/>
  <c r="W87" i="10"/>
  <c r="W66" i="10"/>
  <c r="W58" i="10"/>
  <c r="W74" i="10"/>
  <c r="W59" i="10"/>
  <c r="W75" i="10"/>
  <c r="W61" i="10"/>
  <c r="W90" i="10"/>
  <c r="W69" i="10"/>
  <c r="W77" i="10"/>
  <c r="L451" i="10" l="1"/>
  <c r="K451" i="10"/>
  <c r="J451" i="10"/>
  <c r="I451" i="10"/>
  <c r="L449" i="10"/>
  <c r="J449" i="10"/>
  <c r="X428" i="10"/>
  <c r="L426" i="10"/>
  <c r="K426" i="10"/>
  <c r="J426" i="10"/>
  <c r="I426" i="10"/>
  <c r="L425" i="10"/>
  <c r="K425" i="10"/>
  <c r="J425" i="10"/>
  <c r="L424" i="10"/>
  <c r="K424" i="10"/>
  <c r="J424" i="10"/>
  <c r="I424" i="10"/>
  <c r="L421" i="10"/>
  <c r="L423" i="10" s="1"/>
  <c r="K421" i="10"/>
  <c r="K423" i="10" s="1"/>
  <c r="J421" i="10"/>
  <c r="L415" i="10"/>
  <c r="K415" i="10"/>
  <c r="J415" i="10"/>
  <c r="I415" i="10"/>
  <c r="U414" i="10"/>
  <c r="T414" i="10"/>
  <c r="S414" i="10"/>
  <c r="R414" i="10"/>
  <c r="M414" i="10"/>
  <c r="U412" i="10"/>
  <c r="T412" i="10"/>
  <c r="S412" i="10"/>
  <c r="R412" i="10"/>
  <c r="M412" i="10"/>
  <c r="U411" i="10"/>
  <c r="T411" i="10"/>
  <c r="S411" i="10"/>
  <c r="R411" i="10"/>
  <c r="M411" i="10"/>
  <c r="U410" i="10"/>
  <c r="T410" i="10"/>
  <c r="S410" i="10"/>
  <c r="R410" i="10"/>
  <c r="M410" i="10"/>
  <c r="U409" i="10"/>
  <c r="T409" i="10"/>
  <c r="S409" i="10"/>
  <c r="R409" i="10"/>
  <c r="M409" i="10"/>
  <c r="U408" i="10"/>
  <c r="T408" i="10"/>
  <c r="S408" i="10"/>
  <c r="R408" i="10"/>
  <c r="M408" i="10"/>
  <c r="U404" i="10"/>
  <c r="T404" i="10"/>
  <c r="S404" i="10"/>
  <c r="R404" i="10"/>
  <c r="M404" i="10"/>
  <c r="U403" i="10"/>
  <c r="T403" i="10"/>
  <c r="S403" i="10"/>
  <c r="R403" i="10"/>
  <c r="M403" i="10"/>
  <c r="U402" i="10"/>
  <c r="T402" i="10"/>
  <c r="S402" i="10"/>
  <c r="R402" i="10"/>
  <c r="M402" i="10"/>
  <c r="U401" i="10"/>
  <c r="T401" i="10"/>
  <c r="S401" i="10"/>
  <c r="R401" i="10"/>
  <c r="M401" i="10"/>
  <c r="U400" i="10"/>
  <c r="T400" i="10"/>
  <c r="S400" i="10"/>
  <c r="R400" i="10"/>
  <c r="M400" i="10"/>
  <c r="U399" i="10"/>
  <c r="T399" i="10"/>
  <c r="S399" i="10"/>
  <c r="R399" i="10"/>
  <c r="M399" i="10"/>
  <c r="U398" i="10"/>
  <c r="T398" i="10"/>
  <c r="S398" i="10"/>
  <c r="R398" i="10"/>
  <c r="M398" i="10"/>
  <c r="U397" i="10"/>
  <c r="T397" i="10"/>
  <c r="S397" i="10"/>
  <c r="R397" i="10"/>
  <c r="M397" i="10"/>
  <c r="U390" i="10"/>
  <c r="T390" i="10"/>
  <c r="S390" i="10"/>
  <c r="R390" i="10"/>
  <c r="M390" i="10"/>
  <c r="U389" i="10"/>
  <c r="T389" i="10"/>
  <c r="S389" i="10"/>
  <c r="R389" i="10"/>
  <c r="M389" i="10"/>
  <c r="V378" i="10"/>
  <c r="U378" i="10"/>
  <c r="T378" i="10"/>
  <c r="S378" i="10"/>
  <c r="R378" i="10"/>
  <c r="M378" i="10"/>
  <c r="V377" i="10"/>
  <c r="U377" i="10"/>
  <c r="T377" i="10"/>
  <c r="S377" i="10"/>
  <c r="R377" i="10"/>
  <c r="M377" i="10"/>
  <c r="V376" i="10"/>
  <c r="U376" i="10"/>
  <c r="T376" i="10"/>
  <c r="S376" i="10"/>
  <c r="R376" i="10"/>
  <c r="M376" i="10"/>
  <c r="V375" i="10"/>
  <c r="U375" i="10"/>
  <c r="T375" i="10"/>
  <c r="S375" i="10"/>
  <c r="R375" i="10"/>
  <c r="M375" i="10"/>
  <c r="V374" i="10"/>
  <c r="U374" i="10"/>
  <c r="T374" i="10"/>
  <c r="S374" i="10"/>
  <c r="R374" i="10"/>
  <c r="M374" i="10"/>
  <c r="V373" i="10"/>
  <c r="U373" i="10"/>
  <c r="T373" i="10"/>
  <c r="S373" i="10"/>
  <c r="R373" i="10"/>
  <c r="M373" i="10"/>
  <c r="V372" i="10"/>
  <c r="U372" i="10"/>
  <c r="T372" i="10"/>
  <c r="S372" i="10"/>
  <c r="R372" i="10"/>
  <c r="M372" i="10"/>
  <c r="V371" i="10"/>
  <c r="U371" i="10"/>
  <c r="T371" i="10"/>
  <c r="S371" i="10"/>
  <c r="R371" i="10"/>
  <c r="M371" i="10"/>
  <c r="V370" i="10"/>
  <c r="U370" i="10"/>
  <c r="T370" i="10"/>
  <c r="S370" i="10"/>
  <c r="R370" i="10"/>
  <c r="M370" i="10"/>
  <c r="J367" i="10"/>
  <c r="J343" i="10"/>
  <c r="I343" i="10"/>
  <c r="V342" i="10"/>
  <c r="U342" i="10"/>
  <c r="T342" i="10"/>
  <c r="S342" i="10"/>
  <c r="R342" i="10"/>
  <c r="M342" i="10"/>
  <c r="V340" i="10"/>
  <c r="U340" i="10"/>
  <c r="T340" i="10"/>
  <c r="S340" i="10"/>
  <c r="R340" i="10"/>
  <c r="M340" i="10"/>
  <c r="V325" i="10"/>
  <c r="U325" i="10"/>
  <c r="T325" i="10"/>
  <c r="S325" i="10"/>
  <c r="R325" i="10"/>
  <c r="M325" i="10"/>
  <c r="V310" i="10"/>
  <c r="U310" i="10"/>
  <c r="T310" i="10"/>
  <c r="S310" i="10"/>
  <c r="R310" i="10"/>
  <c r="M310" i="10"/>
  <c r="M323" i="10" s="1"/>
  <c r="J308" i="10"/>
  <c r="I308" i="10"/>
  <c r="R307" i="10"/>
  <c r="M307" i="10"/>
  <c r="R306" i="10"/>
  <c r="M306" i="10"/>
  <c r="R303" i="10"/>
  <c r="M303" i="10"/>
  <c r="J301" i="10"/>
  <c r="I301" i="10"/>
  <c r="V300" i="10"/>
  <c r="U300" i="10"/>
  <c r="T300" i="10"/>
  <c r="S300" i="10"/>
  <c r="R300" i="10"/>
  <c r="M300" i="10"/>
  <c r="V299" i="10"/>
  <c r="U299" i="10"/>
  <c r="T299" i="10"/>
  <c r="S299" i="10"/>
  <c r="R299" i="10"/>
  <c r="M299" i="10"/>
  <c r="J297" i="10"/>
  <c r="I297" i="10"/>
  <c r="V277" i="10"/>
  <c r="U277" i="10"/>
  <c r="T277" i="10"/>
  <c r="S277" i="10"/>
  <c r="R277" i="10"/>
  <c r="M277" i="10"/>
  <c r="V276" i="10"/>
  <c r="U276" i="10"/>
  <c r="T276" i="10"/>
  <c r="S276" i="10"/>
  <c r="R276" i="10"/>
  <c r="M276" i="10"/>
  <c r="V275" i="10"/>
  <c r="U275" i="10"/>
  <c r="T275" i="10"/>
  <c r="S275" i="10"/>
  <c r="R275" i="10"/>
  <c r="M275" i="10"/>
  <c r="V271" i="10"/>
  <c r="U271" i="10"/>
  <c r="T271" i="10"/>
  <c r="S271" i="10"/>
  <c r="R271" i="10"/>
  <c r="M271" i="10"/>
  <c r="V270" i="10"/>
  <c r="U270" i="10"/>
  <c r="T270" i="10"/>
  <c r="S270" i="10"/>
  <c r="R270" i="10"/>
  <c r="M270" i="10"/>
  <c r="V269" i="10"/>
  <c r="U269" i="10"/>
  <c r="T269" i="10"/>
  <c r="S269" i="10"/>
  <c r="R269" i="10"/>
  <c r="M269" i="10"/>
  <c r="J267" i="10"/>
  <c r="I267" i="10"/>
  <c r="V266" i="10"/>
  <c r="U266" i="10"/>
  <c r="T266" i="10"/>
  <c r="S266" i="10"/>
  <c r="R266" i="10"/>
  <c r="M266" i="10"/>
  <c r="V265" i="10"/>
  <c r="U265" i="10"/>
  <c r="T265" i="10"/>
  <c r="S265" i="10"/>
  <c r="R265" i="10"/>
  <c r="M265" i="10"/>
  <c r="V264" i="10"/>
  <c r="U264" i="10"/>
  <c r="T264" i="10"/>
  <c r="S264" i="10"/>
  <c r="R264" i="10"/>
  <c r="M264" i="10"/>
  <c r="V263" i="10"/>
  <c r="U263" i="10"/>
  <c r="T263" i="10"/>
  <c r="S263" i="10"/>
  <c r="R263" i="10"/>
  <c r="M263" i="10"/>
  <c r="V262" i="10"/>
  <c r="U262" i="10"/>
  <c r="T262" i="10"/>
  <c r="S262" i="10"/>
  <c r="R262" i="10"/>
  <c r="M262" i="10"/>
  <c r="V261" i="10"/>
  <c r="U261" i="10"/>
  <c r="T261" i="10"/>
  <c r="S261" i="10"/>
  <c r="R261" i="10"/>
  <c r="M261" i="10"/>
  <c r="V260" i="10"/>
  <c r="U260" i="10"/>
  <c r="T260" i="10"/>
  <c r="S260" i="10"/>
  <c r="R260" i="10"/>
  <c r="M260" i="10"/>
  <c r="V259" i="10"/>
  <c r="U259" i="10"/>
  <c r="T259" i="10"/>
  <c r="S259" i="10"/>
  <c r="R259" i="10"/>
  <c r="M259" i="10"/>
  <c r="V258" i="10"/>
  <c r="U258" i="10"/>
  <c r="T258" i="10"/>
  <c r="S258" i="10"/>
  <c r="R258" i="10"/>
  <c r="M258" i="10"/>
  <c r="V257" i="10"/>
  <c r="U257" i="10"/>
  <c r="T257" i="10"/>
  <c r="S257" i="10"/>
  <c r="R257" i="10"/>
  <c r="M257" i="10"/>
  <c r="V256" i="10"/>
  <c r="U256" i="10"/>
  <c r="T256" i="10"/>
  <c r="S256" i="10"/>
  <c r="R256" i="10"/>
  <c r="M256" i="10"/>
  <c r="V255" i="10"/>
  <c r="U255" i="10"/>
  <c r="T255" i="10"/>
  <c r="S255" i="10"/>
  <c r="R255" i="10"/>
  <c r="M255" i="10"/>
  <c r="V254" i="10"/>
  <c r="U254" i="10"/>
  <c r="T254" i="10"/>
  <c r="S254" i="10"/>
  <c r="R254" i="10"/>
  <c r="M254" i="10"/>
  <c r="V253" i="10"/>
  <c r="U253" i="10"/>
  <c r="T253" i="10"/>
  <c r="S253" i="10"/>
  <c r="R253" i="10"/>
  <c r="M253" i="10"/>
  <c r="V252" i="10"/>
  <c r="U252" i="10"/>
  <c r="T252" i="10"/>
  <c r="S252" i="10"/>
  <c r="R252" i="10"/>
  <c r="M252" i="10"/>
  <c r="V250" i="10"/>
  <c r="U250" i="10"/>
  <c r="T250" i="10"/>
  <c r="S250" i="10"/>
  <c r="R250" i="10"/>
  <c r="M250" i="10"/>
  <c r="V248" i="10"/>
  <c r="U248" i="10"/>
  <c r="T248" i="10"/>
  <c r="S248" i="10"/>
  <c r="R248" i="10"/>
  <c r="M248" i="10"/>
  <c r="V247" i="10"/>
  <c r="U247" i="10"/>
  <c r="T247" i="10"/>
  <c r="S247" i="10"/>
  <c r="R247" i="10"/>
  <c r="M247" i="10"/>
  <c r="V246" i="10"/>
  <c r="U246" i="10"/>
  <c r="T246" i="10"/>
  <c r="S246" i="10"/>
  <c r="R246" i="10"/>
  <c r="M246" i="10"/>
  <c r="J244" i="10"/>
  <c r="I244" i="10"/>
  <c r="V243" i="10"/>
  <c r="U243" i="10"/>
  <c r="T243" i="10"/>
  <c r="S243" i="10"/>
  <c r="R243" i="10"/>
  <c r="M243" i="10"/>
  <c r="V242" i="10"/>
  <c r="U242" i="10"/>
  <c r="T242" i="10"/>
  <c r="S242" i="10"/>
  <c r="R242" i="10"/>
  <c r="M242" i="10"/>
  <c r="V241" i="10"/>
  <c r="U241" i="10"/>
  <c r="T241" i="10"/>
  <c r="S241" i="10"/>
  <c r="R241" i="10"/>
  <c r="M241" i="10"/>
  <c r="V240" i="10"/>
  <c r="U240" i="10"/>
  <c r="T240" i="10"/>
  <c r="S240" i="10"/>
  <c r="R240" i="10"/>
  <c r="M240" i="10"/>
  <c r="V239" i="10"/>
  <c r="U239" i="10"/>
  <c r="T239" i="10"/>
  <c r="S239" i="10"/>
  <c r="R239" i="10"/>
  <c r="M239" i="10"/>
  <c r="V238" i="10"/>
  <c r="U238" i="10"/>
  <c r="T238" i="10"/>
  <c r="S238" i="10"/>
  <c r="R238" i="10"/>
  <c r="M238" i="10"/>
  <c r="V237" i="10"/>
  <c r="U237" i="10"/>
  <c r="T237" i="10"/>
  <c r="S237" i="10"/>
  <c r="R237" i="10"/>
  <c r="M237" i="10"/>
  <c r="V236" i="10"/>
  <c r="U236" i="10"/>
  <c r="T236" i="10"/>
  <c r="S236" i="10"/>
  <c r="R236" i="10"/>
  <c r="M236" i="10"/>
  <c r="V235" i="10"/>
  <c r="U235" i="10"/>
  <c r="T235" i="10"/>
  <c r="S235" i="10"/>
  <c r="R235" i="10"/>
  <c r="M235" i="10"/>
  <c r="V234" i="10"/>
  <c r="U234" i="10"/>
  <c r="T234" i="10"/>
  <c r="S234" i="10"/>
  <c r="R234" i="10"/>
  <c r="M234" i="10"/>
  <c r="V233" i="10"/>
  <c r="U233" i="10"/>
  <c r="T233" i="10"/>
  <c r="S233" i="10"/>
  <c r="R233" i="10"/>
  <c r="M233" i="10"/>
  <c r="V232" i="10"/>
  <c r="U232" i="10"/>
  <c r="T232" i="10"/>
  <c r="S232" i="10"/>
  <c r="R232" i="10"/>
  <c r="M232" i="10"/>
  <c r="V231" i="10"/>
  <c r="U231" i="10"/>
  <c r="T231" i="10"/>
  <c r="S231" i="10"/>
  <c r="R231" i="10"/>
  <c r="M231" i="10"/>
  <c r="V230" i="10"/>
  <c r="U230" i="10"/>
  <c r="T230" i="10"/>
  <c r="S230" i="10"/>
  <c r="R230" i="10"/>
  <c r="M230" i="10"/>
  <c r="V223" i="10"/>
  <c r="U223" i="10"/>
  <c r="T223" i="10"/>
  <c r="S223" i="10"/>
  <c r="R223" i="10"/>
  <c r="M223" i="10"/>
  <c r="V222" i="10"/>
  <c r="U222" i="10"/>
  <c r="T222" i="10"/>
  <c r="S222" i="10"/>
  <c r="R222" i="10"/>
  <c r="M222" i="10"/>
  <c r="V221" i="10"/>
  <c r="U221" i="10"/>
  <c r="T221" i="10"/>
  <c r="S221" i="10"/>
  <c r="R221" i="10"/>
  <c r="M221" i="10"/>
  <c r="V220" i="10"/>
  <c r="U220" i="10"/>
  <c r="T220" i="10"/>
  <c r="S220" i="10"/>
  <c r="R220" i="10"/>
  <c r="M220" i="10"/>
  <c r="V219" i="10"/>
  <c r="U219" i="10"/>
  <c r="T219" i="10"/>
  <c r="S219" i="10"/>
  <c r="R219" i="10"/>
  <c r="M219" i="10"/>
  <c r="V218" i="10"/>
  <c r="U218" i="10"/>
  <c r="T218" i="10"/>
  <c r="S218" i="10"/>
  <c r="R218" i="10"/>
  <c r="M218" i="10"/>
  <c r="V110" i="10"/>
  <c r="U110" i="10"/>
  <c r="T110" i="10"/>
  <c r="S110" i="10"/>
  <c r="R110" i="10"/>
  <c r="M110" i="10"/>
  <c r="V109" i="10"/>
  <c r="U109" i="10"/>
  <c r="T109" i="10"/>
  <c r="S109" i="10"/>
  <c r="R109" i="10"/>
  <c r="M109" i="10"/>
  <c r="V108" i="10"/>
  <c r="U108" i="10"/>
  <c r="T108" i="10"/>
  <c r="S108" i="10"/>
  <c r="R108" i="10"/>
  <c r="M108" i="10"/>
  <c r="V107" i="10"/>
  <c r="U107" i="10"/>
  <c r="T107" i="10"/>
  <c r="S107" i="10"/>
  <c r="R107" i="10"/>
  <c r="M107" i="10"/>
  <c r="V106" i="10"/>
  <c r="U106" i="10"/>
  <c r="T106" i="10"/>
  <c r="S106" i="10"/>
  <c r="R106" i="10"/>
  <c r="M106" i="10"/>
  <c r="V105" i="10"/>
  <c r="U105" i="10"/>
  <c r="T105" i="10"/>
  <c r="S105" i="10"/>
  <c r="R105" i="10"/>
  <c r="M105" i="10"/>
  <c r="V98" i="10"/>
  <c r="U98" i="10"/>
  <c r="T98" i="10"/>
  <c r="S98" i="10"/>
  <c r="R98" i="10"/>
  <c r="M98" i="10"/>
  <c r="V97" i="10"/>
  <c r="U97" i="10"/>
  <c r="T97" i="10"/>
  <c r="S97" i="10"/>
  <c r="R97" i="10"/>
  <c r="M97" i="10"/>
  <c r="V96" i="10"/>
  <c r="U96" i="10"/>
  <c r="T96" i="10"/>
  <c r="S96" i="10"/>
  <c r="R96" i="10"/>
  <c r="M96" i="10"/>
  <c r="V95" i="10"/>
  <c r="U95" i="10"/>
  <c r="T95" i="10"/>
  <c r="S95" i="10"/>
  <c r="R95" i="10"/>
  <c r="M95" i="10"/>
  <c r="V94" i="10"/>
  <c r="U94" i="10"/>
  <c r="T94" i="10"/>
  <c r="S94" i="10"/>
  <c r="R94" i="10"/>
  <c r="M94" i="10"/>
  <c r="V93" i="10"/>
  <c r="U93" i="10"/>
  <c r="T93" i="10"/>
  <c r="S93" i="10"/>
  <c r="R93" i="10"/>
  <c r="M93" i="10"/>
  <c r="J91" i="10"/>
  <c r="V56" i="10"/>
  <c r="V483" i="10" s="1"/>
  <c r="U56" i="10"/>
  <c r="U483" i="10" s="1"/>
  <c r="T56" i="10"/>
  <c r="T483" i="10" s="1"/>
  <c r="S56" i="10"/>
  <c r="S483" i="10" s="1"/>
  <c r="R56" i="10"/>
  <c r="M56" i="10"/>
  <c r="V55" i="10"/>
  <c r="U55" i="10"/>
  <c r="T55" i="10"/>
  <c r="S55" i="10"/>
  <c r="R55" i="10"/>
  <c r="M55" i="10"/>
  <c r="V54" i="10"/>
  <c r="U54" i="10"/>
  <c r="T54" i="10"/>
  <c r="S54" i="10"/>
  <c r="R54" i="10"/>
  <c r="M54" i="10"/>
  <c r="V53" i="10"/>
  <c r="U53" i="10"/>
  <c r="T53" i="10"/>
  <c r="S53" i="10"/>
  <c r="R53" i="10"/>
  <c r="M53" i="10"/>
  <c r="V52" i="10"/>
  <c r="U52" i="10"/>
  <c r="T52" i="10"/>
  <c r="S52" i="10"/>
  <c r="R52" i="10"/>
  <c r="M52" i="10"/>
  <c r="V51" i="10"/>
  <c r="U51" i="10"/>
  <c r="T51" i="10"/>
  <c r="S51" i="10"/>
  <c r="R51" i="10"/>
  <c r="M51" i="10"/>
  <c r="V50" i="10"/>
  <c r="U50" i="10"/>
  <c r="T50" i="10"/>
  <c r="S50" i="10"/>
  <c r="R50" i="10"/>
  <c r="M50" i="10"/>
  <c r="V49" i="10"/>
  <c r="U49" i="10"/>
  <c r="T49" i="10"/>
  <c r="S49" i="10"/>
  <c r="R49" i="10"/>
  <c r="M49" i="10"/>
  <c r="V48" i="10"/>
  <c r="U48" i="10"/>
  <c r="T48" i="10"/>
  <c r="S48" i="10"/>
  <c r="R48" i="10"/>
  <c r="M48" i="10"/>
  <c r="V47" i="10"/>
  <c r="U47" i="10"/>
  <c r="T47" i="10"/>
  <c r="S47" i="10"/>
  <c r="R47" i="10"/>
  <c r="M47" i="10"/>
  <c r="V46" i="10"/>
  <c r="U46" i="10"/>
  <c r="T46" i="10"/>
  <c r="S46" i="10"/>
  <c r="R46" i="10"/>
  <c r="M46" i="10"/>
  <c r="V45" i="10"/>
  <c r="U45" i="10"/>
  <c r="T45" i="10"/>
  <c r="S45" i="10"/>
  <c r="R45" i="10"/>
  <c r="M45" i="10"/>
  <c r="V44" i="10"/>
  <c r="U44" i="10"/>
  <c r="T44" i="10"/>
  <c r="S44" i="10"/>
  <c r="R44" i="10"/>
  <c r="M44" i="10"/>
  <c r="V43" i="10"/>
  <c r="U43" i="10"/>
  <c r="T43" i="10"/>
  <c r="S43" i="10"/>
  <c r="R43" i="10"/>
  <c r="M43" i="10"/>
  <c r="V42" i="10"/>
  <c r="U42" i="10"/>
  <c r="T42" i="10"/>
  <c r="S42" i="10"/>
  <c r="R42" i="10"/>
  <c r="M42" i="10"/>
  <c r="V36" i="10"/>
  <c r="U36" i="10"/>
  <c r="T36" i="10"/>
  <c r="S36" i="10"/>
  <c r="R36" i="10"/>
  <c r="M36" i="10"/>
  <c r="V35" i="10"/>
  <c r="U35" i="10"/>
  <c r="T35" i="10"/>
  <c r="S35" i="10"/>
  <c r="R35" i="10"/>
  <c r="M35" i="10"/>
  <c r="V34" i="10"/>
  <c r="U34" i="10"/>
  <c r="T34" i="10"/>
  <c r="S34" i="10"/>
  <c r="R34" i="10"/>
  <c r="M34" i="10"/>
  <c r="V33" i="10"/>
  <c r="U33" i="10"/>
  <c r="T33" i="10"/>
  <c r="S33" i="10"/>
  <c r="R33" i="10"/>
  <c r="M33" i="10"/>
  <c r="V32" i="10"/>
  <c r="U32" i="10"/>
  <c r="T32" i="10"/>
  <c r="S32" i="10"/>
  <c r="R32" i="10"/>
  <c r="M32" i="10"/>
  <c r="V31" i="10"/>
  <c r="U31" i="10"/>
  <c r="T31" i="10"/>
  <c r="S31" i="10"/>
  <c r="R31" i="10"/>
  <c r="M31" i="10"/>
  <c r="V30" i="10"/>
  <c r="U30" i="10"/>
  <c r="T30" i="10"/>
  <c r="S30" i="10"/>
  <c r="R30" i="10"/>
  <c r="M30" i="10"/>
  <c r="V29" i="10"/>
  <c r="U29" i="10"/>
  <c r="T29" i="10"/>
  <c r="S29" i="10"/>
  <c r="R29" i="10"/>
  <c r="M29" i="10"/>
  <c r="V28" i="10"/>
  <c r="U28" i="10"/>
  <c r="T28" i="10"/>
  <c r="S28" i="10"/>
  <c r="R28" i="10"/>
  <c r="M28" i="10"/>
  <c r="V27" i="10"/>
  <c r="U27" i="10"/>
  <c r="T27" i="10"/>
  <c r="S27" i="10"/>
  <c r="R27" i="10"/>
  <c r="M27" i="10"/>
  <c r="V26" i="10"/>
  <c r="U26" i="10"/>
  <c r="T26" i="10"/>
  <c r="S26" i="10"/>
  <c r="R26" i="10"/>
  <c r="M26" i="10"/>
  <c r="V25" i="10"/>
  <c r="U25" i="10"/>
  <c r="T25" i="10"/>
  <c r="S25" i="10"/>
  <c r="R25" i="10"/>
  <c r="M25" i="10"/>
  <c r="V24" i="10"/>
  <c r="U24" i="10"/>
  <c r="T24" i="10"/>
  <c r="S24" i="10"/>
  <c r="R24" i="10"/>
  <c r="M24" i="10"/>
  <c r="V23" i="10"/>
  <c r="U23" i="10"/>
  <c r="T23" i="10"/>
  <c r="S23" i="10"/>
  <c r="R23" i="10"/>
  <c r="M23" i="10"/>
  <c r="V22" i="10"/>
  <c r="U22" i="10"/>
  <c r="T22" i="10"/>
  <c r="S22" i="10"/>
  <c r="R22" i="10"/>
  <c r="M22" i="10"/>
  <c r="V21" i="10"/>
  <c r="U21" i="10"/>
  <c r="T21" i="10"/>
  <c r="S21" i="10"/>
  <c r="R21" i="10"/>
  <c r="M21" i="10"/>
  <c r="V20" i="10"/>
  <c r="U20" i="10"/>
  <c r="T20" i="10"/>
  <c r="S20" i="10"/>
  <c r="R20" i="10"/>
  <c r="M20" i="10"/>
  <c r="V19" i="10"/>
  <c r="U19" i="10"/>
  <c r="T19" i="10"/>
  <c r="S19" i="10"/>
  <c r="R19" i="10"/>
  <c r="M19" i="10"/>
  <c r="V18" i="10"/>
  <c r="U18" i="10"/>
  <c r="T18" i="10"/>
  <c r="S18" i="10"/>
  <c r="R18" i="10"/>
  <c r="M18" i="10"/>
  <c r="V17" i="10"/>
  <c r="U17" i="10"/>
  <c r="T17" i="10"/>
  <c r="S17" i="10"/>
  <c r="R17" i="10"/>
  <c r="M17" i="10"/>
  <c r="V16" i="10"/>
  <c r="U16" i="10"/>
  <c r="T16" i="10"/>
  <c r="S16" i="10"/>
  <c r="R16" i="10"/>
  <c r="M16" i="10"/>
  <c r="V10" i="10"/>
  <c r="U10" i="10"/>
  <c r="T10" i="10"/>
  <c r="S10" i="10"/>
  <c r="R10" i="10"/>
  <c r="M10" i="10"/>
  <c r="V9" i="10"/>
  <c r="U9" i="10"/>
  <c r="T9" i="10"/>
  <c r="S9" i="10"/>
  <c r="R9" i="10"/>
  <c r="M9" i="10"/>
  <c r="V8" i="10"/>
  <c r="U8" i="10"/>
  <c r="T8" i="10"/>
  <c r="S8" i="10"/>
  <c r="R8" i="10"/>
  <c r="M8" i="10"/>
  <c r="V7" i="10"/>
  <c r="U7" i="10"/>
  <c r="T7" i="10"/>
  <c r="S7" i="10"/>
  <c r="R7" i="10"/>
  <c r="M7" i="10"/>
  <c r="V6" i="10"/>
  <c r="U6" i="10"/>
  <c r="T6" i="10"/>
  <c r="S6" i="10"/>
  <c r="R6" i="10"/>
  <c r="M6" i="10"/>
  <c r="V5" i="10"/>
  <c r="U5" i="10"/>
  <c r="T5" i="10"/>
  <c r="S5" i="10"/>
  <c r="R5" i="10"/>
  <c r="M5" i="10"/>
  <c r="M273" i="10" l="1"/>
  <c r="S273" i="10"/>
  <c r="R273" i="10"/>
  <c r="T273" i="10"/>
  <c r="U273" i="10"/>
  <c r="M308" i="10"/>
  <c r="V273" i="10"/>
  <c r="R308" i="10"/>
  <c r="R484" i="10"/>
  <c r="S484" i="10"/>
  <c r="T484" i="10"/>
  <c r="U484" i="10"/>
  <c r="V484" i="10"/>
  <c r="J423" i="10"/>
  <c r="S477" i="10"/>
  <c r="M427" i="10"/>
  <c r="L429" i="10"/>
  <c r="U477" i="10"/>
  <c r="V477" i="10"/>
  <c r="S479" i="10"/>
  <c r="U481" i="10"/>
  <c r="V481" i="10"/>
  <c r="U485" i="10"/>
  <c r="V485" i="10"/>
  <c r="T479" i="10"/>
  <c r="S485" i="10"/>
  <c r="S481" i="10"/>
  <c r="T485" i="10"/>
  <c r="T481" i="10"/>
  <c r="U479" i="10"/>
  <c r="S482" i="10"/>
  <c r="T482" i="10"/>
  <c r="V479" i="10"/>
  <c r="U482" i="10"/>
  <c r="V480" i="10"/>
  <c r="T480" i="10"/>
  <c r="U480" i="10"/>
  <c r="S480" i="10"/>
  <c r="V482" i="10"/>
  <c r="S478" i="10"/>
  <c r="T478" i="10"/>
  <c r="U478" i="10"/>
  <c r="V478" i="10"/>
  <c r="T477" i="10"/>
  <c r="M423" i="10"/>
  <c r="I429" i="10"/>
  <c r="K429" i="10"/>
  <c r="J429" i="10"/>
  <c r="J416" i="10"/>
  <c r="J457" i="10" s="1"/>
  <c r="I416" i="10"/>
  <c r="I457" i="10" s="1"/>
  <c r="M421" i="10"/>
  <c r="M422" i="10"/>
  <c r="R481" i="10"/>
  <c r="R485" i="10"/>
  <c r="R483" i="10"/>
  <c r="R479" i="10"/>
  <c r="R482" i="10"/>
  <c r="M484" i="10"/>
  <c r="R477" i="10"/>
  <c r="W484" i="10"/>
  <c r="R478" i="10"/>
  <c r="R480" i="10"/>
  <c r="M485" i="10"/>
  <c r="M480" i="10"/>
  <c r="M478" i="10"/>
  <c r="M481" i="10"/>
  <c r="M477" i="10"/>
  <c r="M479" i="10"/>
  <c r="M482" i="10"/>
  <c r="M483" i="10"/>
  <c r="M343" i="10"/>
  <c r="W262" i="10"/>
  <c r="W375" i="10"/>
  <c r="W400" i="10"/>
  <c r="M426" i="10"/>
  <c r="M367" i="10"/>
  <c r="Q423" i="10"/>
  <c r="R367" i="10"/>
  <c r="M425" i="10"/>
  <c r="W340" i="10"/>
  <c r="W26" i="10"/>
  <c r="W47" i="10"/>
  <c r="W96" i="10"/>
  <c r="W110" i="10"/>
  <c r="W219" i="10"/>
  <c r="W233" i="10"/>
  <c r="W241" i="10"/>
  <c r="W373" i="10"/>
  <c r="V343" i="10"/>
  <c r="W310" i="10"/>
  <c r="W9" i="10"/>
  <c r="W22" i="10"/>
  <c r="W30" i="10"/>
  <c r="W43" i="10"/>
  <c r="W256" i="10"/>
  <c r="W276" i="10"/>
  <c r="W404" i="10"/>
  <c r="W408" i="10"/>
  <c r="W411" i="10"/>
  <c r="W342" i="10"/>
  <c r="W8" i="10"/>
  <c r="W236" i="10"/>
  <c r="W401" i="10"/>
  <c r="W410" i="10"/>
  <c r="W50" i="10"/>
  <c r="W29" i="10"/>
  <c r="W42" i="10"/>
  <c r="W31" i="10"/>
  <c r="W44" i="10"/>
  <c r="W247" i="10"/>
  <c r="W257" i="10"/>
  <c r="W265" i="10"/>
  <c r="W402" i="10"/>
  <c r="W232" i="10"/>
  <c r="W378" i="10"/>
  <c r="W414" i="10"/>
  <c r="W108" i="10"/>
  <c r="W412" i="10"/>
  <c r="W16" i="10"/>
  <c r="W32" i="10"/>
  <c r="W53" i="10"/>
  <c r="W94" i="10"/>
  <c r="W389" i="10"/>
  <c r="W399" i="10"/>
  <c r="W409" i="10"/>
  <c r="S368" i="10"/>
  <c r="T343" i="10"/>
  <c r="W300" i="10"/>
  <c r="M301" i="10"/>
  <c r="R297" i="10"/>
  <c r="M297" i="10"/>
  <c r="W271" i="10"/>
  <c r="W248" i="10"/>
  <c r="W255" i="10"/>
  <c r="W258" i="10"/>
  <c r="M267" i="10"/>
  <c r="W250" i="10"/>
  <c r="W259" i="10"/>
  <c r="W107" i="10"/>
  <c r="W230" i="10"/>
  <c r="W238" i="10"/>
  <c r="M244" i="10"/>
  <c r="W97" i="10"/>
  <c r="W234" i="10"/>
  <c r="W242" i="10"/>
  <c r="W223" i="10"/>
  <c r="W237" i="10"/>
  <c r="W220" i="10"/>
  <c r="W106" i="10"/>
  <c r="W5" i="10"/>
  <c r="W34" i="10"/>
  <c r="L486" i="10"/>
  <c r="M424" i="10"/>
  <c r="W17" i="10"/>
  <c r="W25" i="10"/>
  <c r="W109" i="10"/>
  <c r="R267" i="10"/>
  <c r="W253" i="10"/>
  <c r="W261" i="10"/>
  <c r="W266" i="10"/>
  <c r="W325" i="10"/>
  <c r="W376" i="10"/>
  <c r="W390" i="10"/>
  <c r="W21" i="10"/>
  <c r="W49" i="10"/>
  <c r="W52" i="10"/>
  <c r="W93" i="10"/>
  <c r="W218" i="10"/>
  <c r="W277" i="10"/>
  <c r="W398" i="10"/>
  <c r="U244" i="10"/>
  <c r="R415" i="10"/>
  <c r="W19" i="10"/>
  <c r="W45" i="10"/>
  <c r="T367" i="10"/>
  <c r="W403" i="10"/>
  <c r="W6" i="10"/>
  <c r="W35" i="10"/>
  <c r="W372" i="10"/>
  <c r="T244" i="10"/>
  <c r="S297" i="10"/>
  <c r="W264" i="10"/>
  <c r="V301" i="10"/>
  <c r="V297" i="10"/>
  <c r="W377" i="10"/>
  <c r="T297" i="10"/>
  <c r="V367" i="10"/>
  <c r="W20" i="10"/>
  <c r="W231" i="10"/>
  <c r="W270" i="10"/>
  <c r="T368" i="10"/>
  <c r="W95" i="10"/>
  <c r="W263" i="10"/>
  <c r="V415" i="10"/>
  <c r="W18" i="10"/>
  <c r="W240" i="10"/>
  <c r="W24" i="10"/>
  <c r="W235" i="10"/>
  <c r="W299" i="10"/>
  <c r="W243" i="10"/>
  <c r="W307" i="10"/>
  <c r="V244" i="10"/>
  <c r="W46" i="10"/>
  <c r="W56" i="10"/>
  <c r="W239" i="10"/>
  <c r="W303" i="10"/>
  <c r="W308" i="10" s="1"/>
  <c r="W28" i="10"/>
  <c r="R301" i="10"/>
  <c r="W371" i="10"/>
  <c r="W55" i="10"/>
  <c r="W221" i="10"/>
  <c r="W246" i="10"/>
  <c r="U297" i="10"/>
  <c r="W374" i="10"/>
  <c r="W254" i="10"/>
  <c r="W269" i="10"/>
  <c r="W27" i="10"/>
  <c r="T267" i="10"/>
  <c r="W105" i="10"/>
  <c r="W48" i="10"/>
  <c r="W33" i="10"/>
  <c r="W51" i="10"/>
  <c r="W222" i="10"/>
  <c r="W252" i="10"/>
  <c r="R244" i="10"/>
  <c r="W260" i="10"/>
  <c r="S367" i="10"/>
  <c r="W370" i="10"/>
  <c r="W7" i="10"/>
  <c r="W10" i="10"/>
  <c r="W23" i="10"/>
  <c r="W36" i="10"/>
  <c r="W54" i="10"/>
  <c r="R343" i="10"/>
  <c r="T415" i="10"/>
  <c r="W397" i="10"/>
  <c r="T301" i="10"/>
  <c r="R91" i="10"/>
  <c r="U368" i="10"/>
  <c r="I486" i="10"/>
  <c r="W98" i="10"/>
  <c r="T91" i="10"/>
  <c r="V267" i="10"/>
  <c r="J486" i="10"/>
  <c r="S301" i="10"/>
  <c r="W306" i="10"/>
  <c r="S343" i="10"/>
  <c r="S91" i="10"/>
  <c r="U267" i="10"/>
  <c r="W275" i="10"/>
  <c r="U343" i="10"/>
  <c r="U367" i="10"/>
  <c r="U91" i="10"/>
  <c r="K486" i="10"/>
  <c r="M91" i="10"/>
  <c r="U301" i="10"/>
  <c r="V91" i="10"/>
  <c r="S267" i="10"/>
  <c r="S415" i="10"/>
  <c r="U415" i="10"/>
  <c r="S244" i="10"/>
  <c r="M449" i="10"/>
  <c r="W273" i="10" l="1"/>
  <c r="L453" i="10"/>
  <c r="L457" i="10"/>
  <c r="L454" i="10"/>
  <c r="N480" i="10"/>
  <c r="Q485" i="10"/>
  <c r="Q484" i="10"/>
  <c r="Q483" i="10"/>
  <c r="Q481" i="10"/>
  <c r="Q482" i="10"/>
  <c r="Q479" i="10"/>
  <c r="Q480" i="10"/>
  <c r="Q478" i="10"/>
  <c r="Q477" i="10"/>
  <c r="V486" i="10"/>
  <c r="U486" i="10"/>
  <c r="S486" i="10"/>
  <c r="T486" i="10"/>
  <c r="P483" i="10"/>
  <c r="T416" i="10"/>
  <c r="M416" i="10"/>
  <c r="M457" i="10" s="1"/>
  <c r="U416" i="10"/>
  <c r="M429" i="10"/>
  <c r="S416" i="10"/>
  <c r="R416" i="10"/>
  <c r="R417" i="10" s="1"/>
  <c r="N423" i="10"/>
  <c r="I454" i="10"/>
  <c r="P425" i="10"/>
  <c r="K454" i="10"/>
  <c r="P427" i="10"/>
  <c r="J455" i="10"/>
  <c r="J454" i="10"/>
  <c r="P423" i="10"/>
  <c r="O423" i="10"/>
  <c r="O477" i="10"/>
  <c r="I455" i="10"/>
  <c r="I453" i="10"/>
  <c r="W479" i="10"/>
  <c r="W483" i="10"/>
  <c r="W477" i="10"/>
  <c r="W482" i="10"/>
  <c r="W478" i="10"/>
  <c r="W481" i="10"/>
  <c r="W485" i="10"/>
  <c r="W480" i="10"/>
  <c r="K450" i="10"/>
  <c r="K456" i="10"/>
  <c r="K455" i="10"/>
  <c r="K453" i="10"/>
  <c r="P426" i="10"/>
  <c r="P424" i="10"/>
  <c r="P428" i="10"/>
  <c r="Q424" i="10"/>
  <c r="L455" i="10"/>
  <c r="L450" i="10"/>
  <c r="Q421" i="10"/>
  <c r="Q428" i="10"/>
  <c r="L456" i="10"/>
  <c r="Q425" i="10"/>
  <c r="Q426" i="10"/>
  <c r="P421" i="10"/>
  <c r="W343" i="10"/>
  <c r="W415" i="10"/>
  <c r="I450" i="10"/>
  <c r="W367" i="10"/>
  <c r="W301" i="10"/>
  <c r="O425" i="10"/>
  <c r="O426" i="10"/>
  <c r="J450" i="10"/>
  <c r="J456" i="10"/>
  <c r="O421" i="10"/>
  <c r="J453" i="10"/>
  <c r="N485" i="10"/>
  <c r="W267" i="10"/>
  <c r="O424" i="10"/>
  <c r="V416" i="10"/>
  <c r="W244" i="10"/>
  <c r="I456" i="10"/>
  <c r="N426" i="10"/>
  <c r="N425" i="10"/>
  <c r="N424" i="10"/>
  <c r="N421" i="10"/>
  <c r="L417" i="10"/>
  <c r="N478" i="10"/>
  <c r="P480" i="10"/>
  <c r="N484" i="10"/>
  <c r="N482" i="10"/>
  <c r="P479" i="10"/>
  <c r="R486" i="10"/>
  <c r="R502" i="10" s="1"/>
  <c r="M486" i="10"/>
  <c r="M502" i="10" s="1"/>
  <c r="N483" i="10"/>
  <c r="W91" i="10"/>
  <c r="W297" i="10"/>
  <c r="O485" i="10"/>
  <c r="O480" i="10"/>
  <c r="O482" i="10"/>
  <c r="O479" i="10"/>
  <c r="O481" i="10"/>
  <c r="P484" i="10"/>
  <c r="P482" i="10"/>
  <c r="N481" i="10"/>
  <c r="O483" i="10"/>
  <c r="O478" i="10"/>
  <c r="N477" i="10"/>
  <c r="P485" i="10"/>
  <c r="P478" i="10"/>
  <c r="P481" i="10"/>
  <c r="O484" i="10"/>
  <c r="N479" i="10"/>
  <c r="P477" i="10"/>
  <c r="W487" i="10" l="1"/>
  <c r="R422" i="10"/>
  <c r="W416" i="10"/>
  <c r="P429" i="10"/>
  <c r="X481" i="10"/>
  <c r="Q429" i="10"/>
  <c r="O428" i="10"/>
  <c r="O429" i="10" s="1"/>
  <c r="X485" i="10"/>
  <c r="X482" i="10"/>
  <c r="X483" i="10"/>
  <c r="N428" i="10"/>
  <c r="N429" i="10" s="1"/>
  <c r="X479" i="10"/>
  <c r="W486" i="10"/>
  <c r="W502" i="10" s="1"/>
  <c r="X477" i="10"/>
  <c r="X484" i="10"/>
  <c r="X478" i="10"/>
  <c r="X480" i="10"/>
  <c r="O486" i="10"/>
  <c r="N486" i="10"/>
  <c r="W417" i="10" l="1"/>
  <c r="B3" i="13"/>
  <c r="U501" i="10"/>
  <c r="U502" i="10" s="1"/>
  <c r="X486" i="10"/>
  <c r="L430" i="10"/>
  <c r="E79" i="8"/>
  <c r="D79" i="8"/>
  <c r="C79" i="8"/>
  <c r="E78" i="8"/>
  <c r="D78" i="8"/>
  <c r="C78" i="8"/>
  <c r="E77" i="8"/>
  <c r="D77" i="8"/>
  <c r="C77" i="8"/>
  <c r="E76" i="8"/>
  <c r="D76" i="8"/>
  <c r="C76" i="8"/>
  <c r="E75" i="8"/>
  <c r="D75" i="8"/>
  <c r="C75" i="8"/>
  <c r="B79" i="8"/>
  <c r="B78" i="8"/>
  <c r="B77" i="8"/>
  <c r="B76" i="8"/>
  <c r="B75" i="8"/>
  <c r="BP14" i="9"/>
  <c r="X13" i="8"/>
  <c r="Z13" i="8" s="1"/>
  <c r="X29" i="8"/>
  <c r="X14" i="8"/>
  <c r="X30" i="8"/>
  <c r="Z30" i="8" s="1"/>
  <c r="X15" i="8"/>
  <c r="Z15" i="8" s="1"/>
  <c r="X31" i="8"/>
  <c r="Z31" i="8" s="1"/>
  <c r="X16" i="8"/>
  <c r="Z16" i="8" s="1"/>
  <c r="X32" i="8"/>
  <c r="Z32" i="8" s="1"/>
  <c r="X17" i="8"/>
  <c r="Z17" i="8" s="1"/>
  <c r="X33" i="8"/>
  <c r="Z33" i="8" s="1"/>
  <c r="Z29" i="8"/>
  <c r="X34" i="8"/>
  <c r="BL41" i="9"/>
  <c r="BL39" i="9"/>
  <c r="T53" i="9"/>
  <c r="V53" i="9" s="1"/>
  <c r="BE53" i="9"/>
  <c r="BG53" i="9" s="1"/>
  <c r="AQ53" i="9"/>
  <c r="AS53" i="9" s="1"/>
  <c r="T46" i="9"/>
  <c r="V46" i="9" s="1"/>
  <c r="BE46" i="9"/>
  <c r="BG46" i="9" s="1"/>
  <c r="AQ46" i="9"/>
  <c r="AS46" i="9" s="1"/>
  <c r="T45" i="9"/>
  <c r="V45" i="9" s="1"/>
  <c r="BE45" i="9"/>
  <c r="BG45" i="9" s="1"/>
  <c r="AQ45" i="9"/>
  <c r="AS45" i="9" s="1"/>
  <c r="T44" i="9"/>
  <c r="V44" i="9" s="1"/>
  <c r="BE44" i="9"/>
  <c r="BG44" i="9" s="1"/>
  <c r="AQ44" i="9"/>
  <c r="AS44" i="9" s="1"/>
  <c r="T42" i="9"/>
  <c r="V42" i="9" s="1"/>
  <c r="BE42" i="9"/>
  <c r="BG42" i="9" s="1"/>
  <c r="T41" i="9"/>
  <c r="V41" i="9" s="1"/>
  <c r="BE41" i="9"/>
  <c r="BG41" i="9" s="1"/>
  <c r="T40" i="9"/>
  <c r="V40" i="9" s="1"/>
  <c r="BE40" i="9"/>
  <c r="BG40" i="9" s="1"/>
  <c r="AQ40" i="9"/>
  <c r="AS40" i="9" s="1"/>
  <c r="T39" i="9"/>
  <c r="V39" i="9" s="1"/>
  <c r="BE39" i="9"/>
  <c r="BG39" i="9"/>
  <c r="T38" i="9"/>
  <c r="V38" i="9" s="1"/>
  <c r="BE38" i="9"/>
  <c r="BG38" i="9" s="1"/>
  <c r="AQ38" i="9"/>
  <c r="AS38" i="9" s="1"/>
  <c r="T37" i="9"/>
  <c r="V37" i="9" s="1"/>
  <c r="BE37" i="9"/>
  <c r="BG37" i="9"/>
  <c r="AQ37" i="9"/>
  <c r="AS37" i="9" s="1"/>
  <c r="T36" i="9"/>
  <c r="V36" i="9"/>
  <c r="BE36" i="9"/>
  <c r="BG36" i="9" s="1"/>
  <c r="AQ36" i="9"/>
  <c r="AS36" i="9" s="1"/>
  <c r="T35" i="9"/>
  <c r="V35" i="9" s="1"/>
  <c r="BE35" i="9"/>
  <c r="BG35" i="9" s="1"/>
  <c r="AQ35" i="9"/>
  <c r="AS35" i="9" s="1"/>
  <c r="T34" i="9"/>
  <c r="V34" i="9" s="1"/>
  <c r="BE34" i="9"/>
  <c r="BG34" i="9" s="1"/>
  <c r="AQ34" i="9"/>
  <c r="AS34" i="9" s="1"/>
  <c r="T33" i="9"/>
  <c r="V33" i="9" s="1"/>
  <c r="BE33" i="9"/>
  <c r="BG33" i="9" s="1"/>
  <c r="AQ33" i="9"/>
  <c r="AS33" i="9" s="1"/>
  <c r="T32" i="9"/>
  <c r="V32" i="9" s="1"/>
  <c r="BE32" i="9"/>
  <c r="BG32" i="9" s="1"/>
  <c r="AQ32" i="9"/>
  <c r="AS32" i="9" s="1"/>
  <c r="T31" i="9"/>
  <c r="V31" i="9" s="1"/>
  <c r="BE31" i="9"/>
  <c r="BG31" i="9" s="1"/>
  <c r="AQ31" i="9"/>
  <c r="AS31" i="9" s="1"/>
  <c r="BR53" i="9"/>
  <c r="BQ53" i="9"/>
  <c r="BP53" i="9"/>
  <c r="BR31" i="9"/>
  <c r="BQ31" i="9"/>
  <c r="BR46" i="9"/>
  <c r="BQ46" i="9"/>
  <c r="BP46" i="9"/>
  <c r="BR45" i="9"/>
  <c r="BQ45" i="9"/>
  <c r="BP45" i="9"/>
  <c r="BR44" i="9"/>
  <c r="BQ44" i="9"/>
  <c r="BP44" i="9"/>
  <c r="BR42" i="9"/>
  <c r="BQ42" i="9"/>
  <c r="BP42" i="9"/>
  <c r="BR41" i="9"/>
  <c r="BQ41" i="9"/>
  <c r="BP41" i="9"/>
  <c r="BR40" i="9"/>
  <c r="BQ40" i="9"/>
  <c r="BP40" i="9"/>
  <c r="BR39" i="9"/>
  <c r="BQ39" i="9"/>
  <c r="BP39" i="9"/>
  <c r="BR38" i="9"/>
  <c r="BQ38" i="9"/>
  <c r="BP38" i="9"/>
  <c r="BR37" i="9"/>
  <c r="BQ37" i="9"/>
  <c r="BP37" i="9"/>
  <c r="BR36" i="9"/>
  <c r="BQ36" i="9"/>
  <c r="BP36" i="9"/>
  <c r="BR35" i="9"/>
  <c r="BQ35" i="9"/>
  <c r="BP35" i="9"/>
  <c r="BR34" i="9"/>
  <c r="BQ34" i="9"/>
  <c r="BP34" i="9"/>
  <c r="BR33" i="9"/>
  <c r="BQ33" i="9"/>
  <c r="BP33" i="9"/>
  <c r="BR32" i="9"/>
  <c r="BQ32" i="9"/>
  <c r="BP32" i="9"/>
  <c r="BP31" i="9"/>
  <c r="BO53" i="9"/>
  <c r="BO46" i="9"/>
  <c r="BO45" i="9"/>
  <c r="BO44" i="9"/>
  <c r="BO42" i="9"/>
  <c r="BO41" i="9"/>
  <c r="BO40" i="9"/>
  <c r="BO39" i="9"/>
  <c r="BO38" i="9"/>
  <c r="BO37" i="9"/>
  <c r="BO36" i="9"/>
  <c r="BO35" i="9"/>
  <c r="BO34" i="9"/>
  <c r="BO33" i="9"/>
  <c r="BO32" i="9"/>
  <c r="BO31" i="9"/>
  <c r="BE26" i="9"/>
  <c r="BG26" i="9" s="1"/>
  <c r="AQ26" i="9"/>
  <c r="AS26" i="9" s="1"/>
  <c r="BE25" i="9"/>
  <c r="BG25" i="9"/>
  <c r="AA25" i="9"/>
  <c r="AC25" i="9" s="1"/>
  <c r="AQ25" i="9"/>
  <c r="AS25" i="9" s="1"/>
  <c r="BE24" i="9"/>
  <c r="BG24" i="9" s="1"/>
  <c r="AA24" i="9"/>
  <c r="AC24" i="9" s="1"/>
  <c r="AQ24" i="9"/>
  <c r="AS24" i="9" s="1"/>
  <c r="AX24" i="9"/>
  <c r="AZ24" i="9" s="1"/>
  <c r="M24" i="9"/>
  <c r="O24" i="9" s="1"/>
  <c r="BE23" i="9"/>
  <c r="BG23" i="9" s="1"/>
  <c r="AI23" i="9"/>
  <c r="AK23" i="9" s="1"/>
  <c r="AA23" i="9"/>
  <c r="AC23" i="9" s="1"/>
  <c r="AQ23" i="9"/>
  <c r="AS23" i="9" s="1"/>
  <c r="T23" i="9"/>
  <c r="V23" i="9" s="1"/>
  <c r="AX23" i="9"/>
  <c r="AZ23" i="9" s="1"/>
  <c r="M23" i="9"/>
  <c r="O23" i="9" s="1"/>
  <c r="BE22" i="9"/>
  <c r="BG22" i="9" s="1"/>
  <c r="AI22" i="9"/>
  <c r="AK22" i="9" s="1"/>
  <c r="AA22" i="9"/>
  <c r="AC22" i="9" s="1"/>
  <c r="AQ22" i="9"/>
  <c r="AS22" i="9" s="1"/>
  <c r="T22" i="9"/>
  <c r="V22" i="9" s="1"/>
  <c r="AX22" i="9"/>
  <c r="AZ22" i="9" s="1"/>
  <c r="M22" i="9"/>
  <c r="O22" i="9" s="1"/>
  <c r="BE21" i="9"/>
  <c r="BG21" i="9"/>
  <c r="AI21" i="9"/>
  <c r="AK21" i="9" s="1"/>
  <c r="AA21" i="9"/>
  <c r="AC21" i="9" s="1"/>
  <c r="AQ21" i="9"/>
  <c r="AS21" i="9" s="1"/>
  <c r="T21" i="9"/>
  <c r="V21" i="9" s="1"/>
  <c r="AX21" i="9"/>
  <c r="AZ21" i="9" s="1"/>
  <c r="M21" i="9"/>
  <c r="O21" i="9" s="1"/>
  <c r="BE20" i="9"/>
  <c r="BG20" i="9" s="1"/>
  <c r="BT20" i="9" s="1"/>
  <c r="M19" i="9"/>
  <c r="O19" i="9" s="1"/>
  <c r="BE19" i="9"/>
  <c r="BG19" i="9" s="1"/>
  <c r="AI19" i="9"/>
  <c r="AK19" i="9" s="1"/>
  <c r="AA19" i="9"/>
  <c r="AC19" i="9" s="1"/>
  <c r="AQ19" i="9"/>
  <c r="AS19" i="9" s="1"/>
  <c r="T19" i="9"/>
  <c r="V19" i="9" s="1"/>
  <c r="AX19" i="9"/>
  <c r="AZ19" i="9" s="1"/>
  <c r="M18" i="9"/>
  <c r="O18" i="9" s="1"/>
  <c r="BE18" i="9"/>
  <c r="BG18" i="9" s="1"/>
  <c r="AQ18" i="9"/>
  <c r="AS18" i="9" s="1"/>
  <c r="AI18" i="9"/>
  <c r="AK18" i="9" s="1"/>
  <c r="AA18" i="9"/>
  <c r="AC18" i="9" s="1"/>
  <c r="T18" i="9"/>
  <c r="V18" i="9" s="1"/>
  <c r="AX18" i="9"/>
  <c r="AZ18" i="9" s="1"/>
  <c r="M17" i="9"/>
  <c r="O17" i="9" s="1"/>
  <c r="BE17" i="9"/>
  <c r="BG17" i="9" s="1"/>
  <c r="AQ17" i="9"/>
  <c r="AS17" i="9" s="1"/>
  <c r="AI17" i="9"/>
  <c r="AK17" i="9" s="1"/>
  <c r="AA17" i="9"/>
  <c r="AC17" i="9" s="1"/>
  <c r="T17" i="9"/>
  <c r="V17" i="9" s="1"/>
  <c r="AX17" i="9"/>
  <c r="AZ17" i="9" s="1"/>
  <c r="M16" i="9"/>
  <c r="O16" i="9" s="1"/>
  <c r="BE16" i="9"/>
  <c r="BG16" i="9"/>
  <c r="F16" i="9"/>
  <c r="H16" i="9" s="1"/>
  <c r="AQ16" i="9"/>
  <c r="AS16" i="9" s="1"/>
  <c r="AI16" i="9"/>
  <c r="AK16" i="9" s="1"/>
  <c r="AX16" i="9"/>
  <c r="AZ16" i="9" s="1"/>
  <c r="AA16" i="9"/>
  <c r="AC16" i="9" s="1"/>
  <c r="T16" i="9"/>
  <c r="V16" i="9" s="1"/>
  <c r="M15" i="9"/>
  <c r="O15" i="9" s="1"/>
  <c r="BE15" i="9"/>
  <c r="BG15" i="9" s="1"/>
  <c r="F15" i="9"/>
  <c r="H15" i="9" s="1"/>
  <c r="AQ15" i="9"/>
  <c r="AS15" i="9" s="1"/>
  <c r="AI15" i="9"/>
  <c r="AK15" i="9" s="1"/>
  <c r="AX15" i="9"/>
  <c r="AZ15" i="9" s="1"/>
  <c r="AA15" i="9"/>
  <c r="AC15" i="9" s="1"/>
  <c r="T15" i="9"/>
  <c r="V15" i="9" s="1"/>
  <c r="M14" i="9"/>
  <c r="O14" i="9" s="1"/>
  <c r="BE14" i="9"/>
  <c r="BG14" i="9" s="1"/>
  <c r="AI14" i="9"/>
  <c r="AK14" i="9" s="1"/>
  <c r="AA14" i="9"/>
  <c r="AC14" i="9" s="1"/>
  <c r="AQ14" i="9"/>
  <c r="AS14" i="9" s="1"/>
  <c r="BE13" i="9"/>
  <c r="BG13" i="9" s="1"/>
  <c r="AQ13" i="9"/>
  <c r="AS13" i="9" s="1"/>
  <c r="AA13" i="9"/>
  <c r="AC13" i="9" s="1"/>
  <c r="BE12" i="9"/>
  <c r="BG12" i="9" s="1"/>
  <c r="AQ12" i="9"/>
  <c r="AS12" i="9" s="1"/>
  <c r="BE11" i="9"/>
  <c r="BG11" i="9" s="1"/>
  <c r="AQ11" i="9"/>
  <c r="AS11" i="9" s="1"/>
  <c r="BE10" i="9"/>
  <c r="BG10" i="9"/>
  <c r="AQ10" i="9"/>
  <c r="AS10" i="9" s="1"/>
  <c r="BE9" i="9"/>
  <c r="BG9" i="9" s="1"/>
  <c r="AQ9" i="9"/>
  <c r="AS9" i="9" s="1"/>
  <c r="BE8" i="9"/>
  <c r="BG8" i="9" s="1"/>
  <c r="AQ8" i="9"/>
  <c r="AS8" i="9" s="1"/>
  <c r="BE7" i="9"/>
  <c r="BG7" i="9" s="1"/>
  <c r="AQ7" i="9"/>
  <c r="AS7" i="9" s="1"/>
  <c r="BE6" i="9"/>
  <c r="BG6" i="9" s="1"/>
  <c r="AQ6" i="9"/>
  <c r="AS6" i="9" s="1"/>
  <c r="BE5" i="9"/>
  <c r="BG5" i="9" s="1"/>
  <c r="AQ5" i="9"/>
  <c r="AS5" i="9" s="1"/>
  <c r="BR25" i="9"/>
  <c r="BQ25" i="9"/>
  <c r="BR24" i="9"/>
  <c r="BQ24" i="9"/>
  <c r="BR23" i="9"/>
  <c r="BQ23" i="9"/>
  <c r="BR22" i="9"/>
  <c r="BQ22" i="9"/>
  <c r="BR21" i="9"/>
  <c r="BQ21" i="9"/>
  <c r="BR20" i="9"/>
  <c r="BQ20" i="9"/>
  <c r="BR19" i="9"/>
  <c r="BQ19" i="9"/>
  <c r="BR18" i="9"/>
  <c r="BQ18" i="9"/>
  <c r="BR17" i="9"/>
  <c r="BQ17" i="9"/>
  <c r="BR16" i="9"/>
  <c r="BQ16" i="9"/>
  <c r="BR15" i="9"/>
  <c r="BQ15" i="9"/>
  <c r="BR14" i="9"/>
  <c r="BQ14" i="9"/>
  <c r="BR13" i="9"/>
  <c r="BQ13" i="9"/>
  <c r="BR12" i="9"/>
  <c r="BQ12" i="9"/>
  <c r="BR11" i="9"/>
  <c r="BQ11" i="9"/>
  <c r="BR10" i="9"/>
  <c r="BQ10" i="9"/>
  <c r="BR9" i="9"/>
  <c r="BQ9" i="9"/>
  <c r="BR8" i="9"/>
  <c r="BQ8" i="9"/>
  <c r="BR7" i="9"/>
  <c r="BQ7" i="9"/>
  <c r="BR6" i="9"/>
  <c r="BQ6" i="9"/>
  <c r="BR5" i="9"/>
  <c r="BQ5" i="9"/>
  <c r="BR26" i="9"/>
  <c r="BQ26" i="9"/>
  <c r="BP26" i="9"/>
  <c r="BP25" i="9"/>
  <c r="BP24" i="9"/>
  <c r="BP23" i="9"/>
  <c r="BP22" i="9"/>
  <c r="BP21" i="9"/>
  <c r="BP20" i="9"/>
  <c r="BP19" i="9"/>
  <c r="BP18" i="9"/>
  <c r="BP17" i="9"/>
  <c r="BP16" i="9"/>
  <c r="BP15" i="9"/>
  <c r="BP13" i="9"/>
  <c r="BP12" i="9"/>
  <c r="BP11" i="9"/>
  <c r="BP10" i="9"/>
  <c r="BP9" i="9"/>
  <c r="BP8" i="9"/>
  <c r="BP7" i="9"/>
  <c r="BP6" i="9"/>
  <c r="BP5" i="9"/>
  <c r="BO26" i="9"/>
  <c r="BO25" i="9"/>
  <c r="BO24" i="9"/>
  <c r="BO23" i="9"/>
  <c r="BO22" i="9"/>
  <c r="BO21" i="9"/>
  <c r="BO20" i="9"/>
  <c r="BO19" i="9"/>
  <c r="BO18" i="9"/>
  <c r="BO17" i="9"/>
  <c r="BO16" i="9"/>
  <c r="BO15" i="9"/>
  <c r="BO14" i="9"/>
  <c r="BO13" i="9"/>
  <c r="BO12" i="9"/>
  <c r="BO11" i="9"/>
  <c r="BO10" i="9"/>
  <c r="BO9" i="9"/>
  <c r="BO8" i="9"/>
  <c r="BO7" i="9"/>
  <c r="BO6" i="9"/>
  <c r="BO5" i="9"/>
  <c r="F6" i="8"/>
  <c r="H6" i="8" s="1"/>
  <c r="F7" i="8"/>
  <c r="H7" i="8" s="1"/>
  <c r="F8" i="8"/>
  <c r="H8" i="8" s="1"/>
  <c r="F9" i="8"/>
  <c r="H9" i="8" s="1"/>
  <c r="F13" i="8"/>
  <c r="H13" i="8" s="1"/>
  <c r="F14" i="8"/>
  <c r="H14" i="8" s="1"/>
  <c r="F15" i="8"/>
  <c r="H15" i="8" s="1"/>
  <c r="F16" i="8"/>
  <c r="H16" i="8" s="1"/>
  <c r="F21" i="8"/>
  <c r="H21" i="8" s="1"/>
  <c r="F22" i="8"/>
  <c r="H22" i="8" s="1"/>
  <c r="F23" i="8"/>
  <c r="H23" i="8" s="1"/>
  <c r="F25" i="8"/>
  <c r="H25" i="8" s="1"/>
  <c r="F29" i="8"/>
  <c r="H29" i="8" s="1"/>
  <c r="F30" i="8"/>
  <c r="H30" i="8" s="1"/>
  <c r="F31" i="8"/>
  <c r="H31" i="8" s="1"/>
  <c r="F32" i="8"/>
  <c r="H32" i="8" s="1"/>
  <c r="F37" i="8"/>
  <c r="H37" i="8" s="1"/>
  <c r="F38" i="8"/>
  <c r="H38" i="8" s="1"/>
  <c r="F39" i="8"/>
  <c r="H39" i="8" s="1"/>
  <c r="F40" i="8"/>
  <c r="H40" i="8"/>
  <c r="F44" i="8"/>
  <c r="H44" i="8" s="1"/>
  <c r="F45" i="8"/>
  <c r="H45" i="8" s="1"/>
  <c r="F46" i="8"/>
  <c r="H46" i="8" s="1"/>
  <c r="F47" i="8"/>
  <c r="H47" i="8" s="1"/>
  <c r="F51" i="8"/>
  <c r="H51" i="8" s="1"/>
  <c r="F52" i="8"/>
  <c r="H52" i="8" s="1"/>
  <c r="F53" i="8"/>
  <c r="H53" i="8" s="1"/>
  <c r="F54" i="8"/>
  <c r="H54" i="8" s="1"/>
  <c r="F58" i="8"/>
  <c r="H58" i="8" s="1"/>
  <c r="F59" i="8"/>
  <c r="H59" i="8" s="1"/>
  <c r="F60" i="8"/>
  <c r="H60" i="8" s="1"/>
  <c r="F61" i="8"/>
  <c r="H61" i="8" s="1"/>
  <c r="H63" i="8" s="1"/>
  <c r="O51" i="8"/>
  <c r="Q51" i="8" s="1"/>
  <c r="O52" i="8"/>
  <c r="Q52" i="8" s="1"/>
  <c r="O53" i="8"/>
  <c r="Q53" i="8" s="1"/>
  <c r="O54" i="8"/>
  <c r="Q54" i="8" s="1"/>
  <c r="O6" i="8"/>
  <c r="Q6" i="8" s="1"/>
  <c r="O7" i="8"/>
  <c r="Q7" i="8" s="1"/>
  <c r="O8" i="8"/>
  <c r="Q8" i="8" s="1"/>
  <c r="O9" i="8"/>
  <c r="Q9" i="8" s="1"/>
  <c r="O44" i="8"/>
  <c r="Q44" i="8" s="1"/>
  <c r="O45" i="8"/>
  <c r="Q45" i="8" s="1"/>
  <c r="O46" i="8"/>
  <c r="Q46" i="8"/>
  <c r="O47" i="8"/>
  <c r="Q47" i="8" s="1"/>
  <c r="O13" i="8"/>
  <c r="Q13" i="8" s="1"/>
  <c r="O14" i="8"/>
  <c r="Q14" i="8" s="1"/>
  <c r="O15" i="8"/>
  <c r="Q15" i="8" s="1"/>
  <c r="O16" i="8"/>
  <c r="Q16" i="8" s="1"/>
  <c r="O29" i="8"/>
  <c r="Q29" i="8" s="1"/>
  <c r="O30" i="8"/>
  <c r="Q30" i="8" s="1"/>
  <c r="O31" i="8"/>
  <c r="Q31" i="8" s="1"/>
  <c r="O32" i="8"/>
  <c r="Q32" i="8" s="1"/>
  <c r="Q79" i="8"/>
  <c r="O37" i="8"/>
  <c r="Q37" i="8" s="1"/>
  <c r="O38" i="8"/>
  <c r="Q38" i="8" s="1"/>
  <c r="O39" i="8"/>
  <c r="Q39" i="8" s="1"/>
  <c r="O40" i="8"/>
  <c r="Q40" i="8" s="1"/>
  <c r="O58" i="8"/>
  <c r="Q58" i="8" s="1"/>
  <c r="O59" i="8"/>
  <c r="Q59" i="8"/>
  <c r="O60" i="8"/>
  <c r="Q60" i="8" s="1"/>
  <c r="O61" i="8"/>
  <c r="Q61" i="8" s="1"/>
  <c r="O21" i="8"/>
  <c r="Q21" i="8" s="1"/>
  <c r="O22" i="8"/>
  <c r="Q22" i="8" s="1"/>
  <c r="O23" i="8"/>
  <c r="Q23" i="8" s="1"/>
  <c r="BL14" i="9"/>
  <c r="BN14" i="9" s="1"/>
  <c r="T14" i="9"/>
  <c r="V14" i="9" s="1"/>
  <c r="AA12" i="9"/>
  <c r="AC12" i="9" s="1"/>
  <c r="AA11" i="9"/>
  <c r="AC11" i="9" s="1"/>
  <c r="AI53" i="9"/>
  <c r="AK53" i="9" s="1"/>
  <c r="AI46" i="9"/>
  <c r="AK46" i="9" s="1"/>
  <c r="AI45" i="9"/>
  <c r="AK45" i="9" s="1"/>
  <c r="AI44" i="9"/>
  <c r="AK44" i="9" s="1"/>
  <c r="AI42" i="9"/>
  <c r="AK42" i="9" s="1"/>
  <c r="AI40" i="9"/>
  <c r="AK40" i="9" s="1"/>
  <c r="AI37" i="9"/>
  <c r="AK37" i="9" s="1"/>
  <c r="AI36" i="9"/>
  <c r="AK36" i="9" s="1"/>
  <c r="AI35" i="9"/>
  <c r="AK35" i="9" s="1"/>
  <c r="AI34" i="9"/>
  <c r="AK34" i="9" s="1"/>
  <c r="AI33" i="9"/>
  <c r="AK33" i="9" s="1"/>
  <c r="AI32" i="9"/>
  <c r="AK32" i="9" s="1"/>
  <c r="AI31" i="9"/>
  <c r="AK31" i="9" s="1"/>
  <c r="AI26" i="9"/>
  <c r="AK26" i="9" s="1"/>
  <c r="AI25" i="9"/>
  <c r="AK25" i="9" s="1"/>
  <c r="AI24" i="9"/>
  <c r="AK24" i="9" s="1"/>
  <c r="AI13" i="9"/>
  <c r="AK13" i="9" s="1"/>
  <c r="AI12" i="9"/>
  <c r="AK12" i="9" s="1"/>
  <c r="AI11" i="9"/>
  <c r="AK11" i="9" s="1"/>
  <c r="AI10" i="9"/>
  <c r="AK10" i="9" s="1"/>
  <c r="AI9" i="9"/>
  <c r="AK9" i="9" s="1"/>
  <c r="AI8" i="9"/>
  <c r="AK8" i="9" s="1"/>
  <c r="AI7" i="9"/>
  <c r="AK7" i="9" s="1"/>
  <c r="AI6" i="9"/>
  <c r="AK6" i="9" s="1"/>
  <c r="AI5" i="9"/>
  <c r="AK5" i="9" s="1"/>
  <c r="BL16" i="9"/>
  <c r="BN16" i="9" s="1"/>
  <c r="O79" i="8"/>
  <c r="O78" i="8"/>
  <c r="O77" i="8"/>
  <c r="O76" i="8"/>
  <c r="O75" i="8"/>
  <c r="N80" i="8"/>
  <c r="M80" i="8"/>
  <c r="AX31" i="9"/>
  <c r="AZ31" i="9" s="1"/>
  <c r="AA31" i="9"/>
  <c r="AC31" i="9"/>
  <c r="M31" i="9"/>
  <c r="O31" i="9" s="1"/>
  <c r="BL31" i="9"/>
  <c r="BN31" i="9" s="1"/>
  <c r="AX32" i="9"/>
  <c r="AZ32" i="9"/>
  <c r="AA32" i="9"/>
  <c r="AC32" i="9"/>
  <c r="M32" i="9"/>
  <c r="O32" i="9"/>
  <c r="BL32" i="9"/>
  <c r="BN32" i="9"/>
  <c r="AX33" i="9"/>
  <c r="AZ33" i="9" s="1"/>
  <c r="AA33" i="9"/>
  <c r="AC33" i="9" s="1"/>
  <c r="M33" i="9"/>
  <c r="O33" i="9" s="1"/>
  <c r="BL33" i="9"/>
  <c r="BN33" i="9"/>
  <c r="AX34" i="9"/>
  <c r="AZ34" i="9" s="1"/>
  <c r="AA34" i="9"/>
  <c r="AC34" i="9"/>
  <c r="M34" i="9"/>
  <c r="O34" i="9"/>
  <c r="BL34" i="9"/>
  <c r="BN34" i="9" s="1"/>
  <c r="AX35" i="9"/>
  <c r="AZ35" i="9" s="1"/>
  <c r="AA35" i="9"/>
  <c r="AC35" i="9" s="1"/>
  <c r="M35" i="9"/>
  <c r="O35" i="9" s="1"/>
  <c r="BL35" i="9"/>
  <c r="BN35" i="9"/>
  <c r="AX36" i="9"/>
  <c r="AZ36" i="9"/>
  <c r="AA36" i="9"/>
  <c r="AC36" i="9" s="1"/>
  <c r="M36" i="9"/>
  <c r="O36" i="9" s="1"/>
  <c r="BL36" i="9"/>
  <c r="BN36" i="9"/>
  <c r="AX37" i="9"/>
  <c r="AZ37" i="9"/>
  <c r="AA37" i="9"/>
  <c r="AC37" i="9" s="1"/>
  <c r="M37" i="9"/>
  <c r="O37" i="9" s="1"/>
  <c r="BL37" i="9"/>
  <c r="BN37" i="9" s="1"/>
  <c r="AX38" i="9"/>
  <c r="AZ38" i="9"/>
  <c r="AA38" i="9"/>
  <c r="AC38" i="9" s="1"/>
  <c r="M38" i="9"/>
  <c r="O38" i="9" s="1"/>
  <c r="BL38" i="9"/>
  <c r="BN38" i="9" s="1"/>
  <c r="AX40" i="9"/>
  <c r="AZ40" i="9" s="1"/>
  <c r="AA40" i="9"/>
  <c r="AC40" i="9" s="1"/>
  <c r="M40" i="9"/>
  <c r="O40" i="9" s="1"/>
  <c r="BL40" i="9"/>
  <c r="BN40" i="9" s="1"/>
  <c r="AX42" i="9"/>
  <c r="AZ42" i="9" s="1"/>
  <c r="AA42" i="9"/>
  <c r="AC42" i="9" s="1"/>
  <c r="M42" i="9"/>
  <c r="O42" i="9" s="1"/>
  <c r="BL42" i="9"/>
  <c r="BN42" i="9"/>
  <c r="AX44" i="9"/>
  <c r="AZ44" i="9"/>
  <c r="AA44" i="9"/>
  <c r="AC44" i="9" s="1"/>
  <c r="M44" i="9"/>
  <c r="O44" i="9" s="1"/>
  <c r="BL44" i="9"/>
  <c r="BN44" i="9" s="1"/>
  <c r="AX45" i="9"/>
  <c r="AZ45" i="9"/>
  <c r="AA45" i="9"/>
  <c r="AC45" i="9" s="1"/>
  <c r="M45" i="9"/>
  <c r="O45" i="9" s="1"/>
  <c r="BL45" i="9"/>
  <c r="BN45" i="9" s="1"/>
  <c r="AX46" i="9"/>
  <c r="AZ46" i="9" s="1"/>
  <c r="AA46" i="9"/>
  <c r="AC46" i="9"/>
  <c r="M46" i="9"/>
  <c r="O46" i="9" s="1"/>
  <c r="BL46" i="9"/>
  <c r="BN46" i="9"/>
  <c r="AX53" i="9"/>
  <c r="AZ53" i="9" s="1"/>
  <c r="AA53" i="9"/>
  <c r="AC53" i="9"/>
  <c r="M53" i="9"/>
  <c r="O53" i="9"/>
  <c r="BL53" i="9"/>
  <c r="BN53" i="9" s="1"/>
  <c r="AX26" i="9"/>
  <c r="AZ26" i="9"/>
  <c r="AA26" i="9"/>
  <c r="AC26" i="9" s="1"/>
  <c r="M26" i="9"/>
  <c r="O26" i="9"/>
  <c r="T26" i="9"/>
  <c r="V26" i="9"/>
  <c r="BL26" i="9"/>
  <c r="BN26" i="9" s="1"/>
  <c r="T25" i="9"/>
  <c r="V25" i="9" s="1"/>
  <c r="AX25" i="9"/>
  <c r="AZ25" i="9"/>
  <c r="M25" i="9"/>
  <c r="O25" i="9" s="1"/>
  <c r="BL25" i="9"/>
  <c r="BN25" i="9" s="1"/>
  <c r="T24" i="9"/>
  <c r="V24" i="9" s="1"/>
  <c r="BL24" i="9"/>
  <c r="BN24" i="9" s="1"/>
  <c r="BL23" i="9"/>
  <c r="BN23" i="9" s="1"/>
  <c r="BL22" i="9"/>
  <c r="BN22" i="9" s="1"/>
  <c r="BL21" i="9"/>
  <c r="BN21" i="9"/>
  <c r="BL19" i="9"/>
  <c r="BN19" i="9" s="1"/>
  <c r="BL18" i="9"/>
  <c r="BN18" i="9" s="1"/>
  <c r="BL17" i="9"/>
  <c r="BN17" i="9" s="1"/>
  <c r="BL15" i="9"/>
  <c r="BN15" i="9" s="1"/>
  <c r="AX14" i="9"/>
  <c r="AZ14" i="9" s="1"/>
  <c r="T13" i="9"/>
  <c r="V13" i="9" s="1"/>
  <c r="AX13" i="9"/>
  <c r="AZ13" i="9" s="1"/>
  <c r="M13" i="9"/>
  <c r="O13" i="9" s="1"/>
  <c r="BL13" i="9"/>
  <c r="BN13" i="9" s="1"/>
  <c r="T12" i="9"/>
  <c r="V12" i="9" s="1"/>
  <c r="AX12" i="9"/>
  <c r="AZ12" i="9" s="1"/>
  <c r="M12" i="9"/>
  <c r="O12" i="9" s="1"/>
  <c r="BL12" i="9"/>
  <c r="BN12" i="9"/>
  <c r="T11" i="9"/>
  <c r="V11" i="9" s="1"/>
  <c r="AX11" i="9"/>
  <c r="AZ11" i="9" s="1"/>
  <c r="M11" i="9"/>
  <c r="O11" i="9"/>
  <c r="BL11" i="9"/>
  <c r="BN11" i="9"/>
  <c r="T10" i="9"/>
  <c r="V10" i="9" s="1"/>
  <c r="AX10" i="9"/>
  <c r="AZ10" i="9"/>
  <c r="M10" i="9"/>
  <c r="O10" i="9" s="1"/>
  <c r="AA10" i="9"/>
  <c r="AC10" i="9" s="1"/>
  <c r="BL10" i="9"/>
  <c r="BN10" i="9" s="1"/>
  <c r="T9" i="9"/>
  <c r="V9" i="9" s="1"/>
  <c r="AX9" i="9"/>
  <c r="AZ9" i="9"/>
  <c r="M9" i="9"/>
  <c r="O9" i="9" s="1"/>
  <c r="AA9" i="9"/>
  <c r="AC9" i="9" s="1"/>
  <c r="BL9" i="9"/>
  <c r="BN9" i="9"/>
  <c r="T8" i="9"/>
  <c r="V8" i="9" s="1"/>
  <c r="AX8" i="9"/>
  <c r="AZ8" i="9" s="1"/>
  <c r="M8" i="9"/>
  <c r="O8" i="9" s="1"/>
  <c r="AA8" i="9"/>
  <c r="AC8" i="9" s="1"/>
  <c r="BL8" i="9"/>
  <c r="BN8" i="9" s="1"/>
  <c r="T7" i="9"/>
  <c r="V7" i="9" s="1"/>
  <c r="AX7" i="9"/>
  <c r="AZ7" i="9" s="1"/>
  <c r="M7" i="9"/>
  <c r="O7" i="9" s="1"/>
  <c r="AA7" i="9"/>
  <c r="AC7" i="9" s="1"/>
  <c r="BL7" i="9"/>
  <c r="BN7" i="9" s="1"/>
  <c r="T5" i="9"/>
  <c r="V5" i="9" s="1"/>
  <c r="AX5" i="9"/>
  <c r="AZ5" i="9"/>
  <c r="M5" i="9"/>
  <c r="O5" i="9" s="1"/>
  <c r="AA5" i="9"/>
  <c r="AC5" i="9" s="1"/>
  <c r="BL5" i="9"/>
  <c r="BN5" i="9"/>
  <c r="T6" i="9"/>
  <c r="V6" i="9" s="1"/>
  <c r="AX6" i="9"/>
  <c r="AZ6" i="9" s="1"/>
  <c r="M6" i="9"/>
  <c r="O6" i="9" s="1"/>
  <c r="AA6" i="9"/>
  <c r="AC6" i="9" s="1"/>
  <c r="BL6" i="9"/>
  <c r="BN6" i="9" s="1"/>
  <c r="K80" i="8"/>
  <c r="O63" i="8"/>
  <c r="O48" i="8"/>
  <c r="O41" i="8"/>
  <c r="O34" i="8"/>
  <c r="O18" i="8"/>
  <c r="O10" i="8"/>
  <c r="H81" i="8"/>
  <c r="L80" i="8"/>
  <c r="C3" i="13" l="1"/>
  <c r="C6" i="13" s="1"/>
  <c r="C12" i="13" s="1"/>
  <c r="B6" i="13"/>
  <c r="B12" i="13" s="1"/>
  <c r="BS6" i="9"/>
  <c r="BS5" i="9"/>
  <c r="O81" i="8"/>
  <c r="P79" i="8"/>
  <c r="Q77" i="8"/>
  <c r="P77" i="8" s="1"/>
  <c r="Q48" i="8"/>
  <c r="O80" i="8"/>
  <c r="E80" i="8"/>
  <c r="B80" i="8"/>
  <c r="Z34" i="8"/>
  <c r="X78" i="8"/>
  <c r="X79" i="8"/>
  <c r="X18" i="8"/>
  <c r="X75" i="8"/>
  <c r="BS31" i="9"/>
  <c r="BS37" i="9"/>
  <c r="BS9" i="9"/>
  <c r="BT41" i="9"/>
  <c r="BS33" i="9"/>
  <c r="BT6" i="9"/>
  <c r="BS40" i="9"/>
  <c r="BS10" i="9"/>
  <c r="BS34" i="9"/>
  <c r="BS36" i="9"/>
  <c r="BT39" i="9"/>
  <c r="BS39" i="9"/>
  <c r="BS53" i="9"/>
  <c r="BS7" i="9"/>
  <c r="BS42" i="9"/>
  <c r="BT42" i="9"/>
  <c r="BS32" i="9"/>
  <c r="BS35" i="9"/>
  <c r="BS41" i="9"/>
  <c r="BS14" i="9"/>
  <c r="BT12" i="9"/>
  <c r="BS23" i="9"/>
  <c r="BS22" i="9"/>
  <c r="BS15" i="9"/>
  <c r="BT23" i="9"/>
  <c r="BT53" i="9"/>
  <c r="BT33" i="9"/>
  <c r="BT35" i="9"/>
  <c r="BS8" i="9"/>
  <c r="BT37" i="9"/>
  <c r="BS38" i="9"/>
  <c r="BS16" i="9"/>
  <c r="BS26" i="9"/>
  <c r="BS46" i="9"/>
  <c r="BS11" i="9"/>
  <c r="BS13" i="9"/>
  <c r="BT11" i="9"/>
  <c r="BT10" i="9"/>
  <c r="BS12" i="9"/>
  <c r="BT38" i="9"/>
  <c r="BS44" i="9"/>
  <c r="BT45" i="9"/>
  <c r="BS24" i="9"/>
  <c r="BS45" i="9"/>
  <c r="M415" i="10"/>
  <c r="M454" i="10"/>
  <c r="H26" i="8"/>
  <c r="BS17" i="9"/>
  <c r="BS21" i="9"/>
  <c r="BS18" i="9"/>
  <c r="BT24" i="9"/>
  <c r="BS25" i="9"/>
  <c r="F76" i="8"/>
  <c r="D80" i="8"/>
  <c r="BS20" i="9"/>
  <c r="Q76" i="8"/>
  <c r="P76" i="8" s="1"/>
  <c r="BT9" i="9"/>
  <c r="Q75" i="8"/>
  <c r="P75" i="8" s="1"/>
  <c r="Q10" i="8"/>
  <c r="H18" i="8"/>
  <c r="BT7" i="9"/>
  <c r="BT31" i="9"/>
  <c r="BT17" i="9"/>
  <c r="BT25" i="9"/>
  <c r="BT40" i="9"/>
  <c r="Q55" i="8"/>
  <c r="Q41" i="8"/>
  <c r="BT18" i="9"/>
  <c r="BT44" i="9"/>
  <c r="BT46" i="9"/>
  <c r="Q63" i="8"/>
  <c r="Q34" i="8"/>
  <c r="BT8" i="9"/>
  <c r="BT13" i="9"/>
  <c r="BT32" i="9"/>
  <c r="BT14" i="9"/>
  <c r="BT22" i="9"/>
  <c r="Q78" i="8"/>
  <c r="P78" i="8" s="1"/>
  <c r="BT5" i="9"/>
  <c r="BT26" i="9"/>
  <c r="BT36" i="9"/>
  <c r="H10" i="8"/>
  <c r="BT34" i="9"/>
  <c r="Q26" i="8"/>
  <c r="Q73" i="8" s="1"/>
  <c r="Q18" i="8"/>
  <c r="BT21" i="9"/>
  <c r="X76" i="8"/>
  <c r="F79" i="8"/>
  <c r="BS19" i="9"/>
  <c r="F75" i="8"/>
  <c r="Z14" i="8"/>
  <c r="Z18" i="8" s="1"/>
  <c r="BT19" i="9"/>
  <c r="F77" i="8"/>
  <c r="H41" i="8"/>
  <c r="X77" i="8"/>
  <c r="F78" i="8"/>
  <c r="BT15" i="9"/>
  <c r="BT16" i="9"/>
  <c r="H55" i="8"/>
  <c r="H78" i="8"/>
  <c r="H79" i="8"/>
  <c r="H34" i="8"/>
  <c r="C80" i="8"/>
  <c r="H75" i="8"/>
  <c r="H77" i="8"/>
  <c r="H76" i="8"/>
  <c r="G76" i="8" s="1"/>
  <c r="H48" i="8"/>
  <c r="R423" i="10" l="1"/>
  <c r="R427" i="10"/>
  <c r="H73" i="8"/>
  <c r="X80" i="8"/>
  <c r="BS54" i="9"/>
  <c r="G79" i="8"/>
  <c r="G78" i="8"/>
  <c r="F80" i="8"/>
  <c r="R428" i="10"/>
  <c r="M455" i="10"/>
  <c r="R426" i="10"/>
  <c r="M453" i="10"/>
  <c r="M456" i="10"/>
  <c r="M450" i="10"/>
  <c r="R425" i="10"/>
  <c r="R424" i="10"/>
  <c r="R421" i="10"/>
  <c r="BS27" i="9"/>
  <c r="F81" i="8"/>
  <c r="BT27" i="9"/>
  <c r="G75" i="8"/>
  <c r="BT54" i="9"/>
  <c r="G77" i="8"/>
  <c r="Q80" i="8"/>
  <c r="H80" i="8"/>
  <c r="R429" i="10" l="1"/>
</calcChain>
</file>

<file path=xl/comments1.xml><?xml version="1.0" encoding="utf-8"?>
<comments xmlns="http://schemas.openxmlformats.org/spreadsheetml/2006/main">
  <authors>
    <author>oddbjørn</author>
  </authors>
  <commentList>
    <comment ref="S1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T1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U1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V1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kostnaden er begrenset oppad til prisgrensen.</t>
        </r>
      </text>
    </comment>
    <comment ref="S490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T490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U490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V490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</commentList>
</comments>
</file>

<file path=xl/comments2.xml><?xml version="1.0" encoding="utf-8"?>
<comments xmlns="http://schemas.openxmlformats.org/spreadsheetml/2006/main">
  <authors>
    <author>oddbjørn</author>
  </authors>
  <commentList>
    <comment ref="S1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T1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U1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V1" authorId="0">
      <text>
        <r>
          <rPr>
            <sz val="8"/>
            <color indexed="81"/>
            <rFont val="Tahoma"/>
            <family val="2"/>
          </rPr>
          <t xml:space="preserve">kostnaden er begrenset oppad til prisgrensen.
</t>
        </r>
      </text>
    </comment>
    <comment ref="W1" authorId="0">
      <text>
        <r>
          <rPr>
            <b/>
            <sz val="8"/>
            <color indexed="81"/>
            <rFont val="Tahoma"/>
            <family val="2"/>
          </rPr>
          <t>kostnaden er begrenset oppad til prisgrensen.</t>
        </r>
      </text>
    </comment>
  </commentList>
</comments>
</file>

<file path=xl/comments3.xml><?xml version="1.0" encoding="utf-8"?>
<comments xmlns="http://schemas.openxmlformats.org/spreadsheetml/2006/main">
  <authors>
    <author>a118015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Kun de som NAV betaler for, ikke garantier.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<sst xmlns="http://schemas.openxmlformats.org/spreadsheetml/2006/main" count="3191" uniqueCount="728">
  <si>
    <t>Gewa</t>
  </si>
  <si>
    <t>Medisan</t>
  </si>
  <si>
    <t>Oticon</t>
  </si>
  <si>
    <t>Phonak</t>
  </si>
  <si>
    <t>Starkey</t>
  </si>
  <si>
    <t>sum</t>
  </si>
  <si>
    <t>Prod</t>
  </si>
  <si>
    <t>Modell</t>
  </si>
  <si>
    <t>Type</t>
  </si>
  <si>
    <t>1.kvartal</t>
  </si>
  <si>
    <t>2.kvartal</t>
  </si>
  <si>
    <t>3.kvartal</t>
  </si>
  <si>
    <t>4.kvartal</t>
  </si>
  <si>
    <t>Sum</t>
  </si>
  <si>
    <t>antall</t>
  </si>
  <si>
    <t>u mva</t>
  </si>
  <si>
    <t>BTE</t>
  </si>
  <si>
    <t>ITE</t>
  </si>
  <si>
    <t>KAN</t>
  </si>
  <si>
    <t>UNI</t>
  </si>
  <si>
    <t>SIE</t>
  </si>
  <si>
    <t>BT</t>
  </si>
  <si>
    <t>WX</t>
  </si>
  <si>
    <t>OT</t>
  </si>
  <si>
    <t>PK</t>
  </si>
  <si>
    <t>siste kv</t>
  </si>
  <si>
    <t>Bak øret</t>
  </si>
  <si>
    <t>I øret</t>
  </si>
  <si>
    <t>Kanal</t>
  </si>
  <si>
    <t>av antall</t>
  </si>
  <si>
    <t>De 10 mest solgte modellene</t>
  </si>
  <si>
    <t>SO</t>
  </si>
  <si>
    <t>Total</t>
  </si>
  <si>
    <t>kr u mva</t>
  </si>
  <si>
    <t>hele året</t>
  </si>
  <si>
    <t>Av total kr</t>
  </si>
  <si>
    <t>Medus</t>
  </si>
  <si>
    <t>CIC</t>
  </si>
  <si>
    <t>Andre/ukjent</t>
  </si>
  <si>
    <t>HØREAPPARATER</t>
  </si>
  <si>
    <t>VITA SV-19</t>
  </si>
  <si>
    <t>Sumo XP</t>
  </si>
  <si>
    <t>Sumo DM</t>
  </si>
  <si>
    <t>ReSund Viking</t>
  </si>
  <si>
    <t>Pris1.kv</t>
  </si>
  <si>
    <t>prisgrense</t>
  </si>
  <si>
    <t>* begrenset oppad til prisgrensen</t>
  </si>
  <si>
    <t>med 25% mva:</t>
  </si>
  <si>
    <t>Kostnad *</t>
  </si>
  <si>
    <t>SAVIA 111/211/311</t>
  </si>
  <si>
    <t>med mva</t>
  </si>
  <si>
    <t>Unitron Hearing</t>
  </si>
  <si>
    <t>AIKIA AK-19</t>
  </si>
  <si>
    <t>Pris2.kv</t>
  </si>
  <si>
    <t>SAVIA ART 211/311/411 dSZ</t>
  </si>
  <si>
    <t>CENTRA Life</t>
  </si>
  <si>
    <t>Pris3.kv</t>
  </si>
  <si>
    <t>Pris4.kv</t>
  </si>
  <si>
    <t>Kostn.1.kvartal *</t>
  </si>
  <si>
    <t>Kostn.2.kvartal *</t>
  </si>
  <si>
    <t>Kostn.3.kvartal *</t>
  </si>
  <si>
    <t>Kostn.4.kvartal *</t>
  </si>
  <si>
    <t>Kommentar</t>
  </si>
  <si>
    <t>pris</t>
  </si>
  <si>
    <t>Takstgruppe 1</t>
  </si>
  <si>
    <t>Takstgruppe 2</t>
  </si>
  <si>
    <t>Takstgruppe 3</t>
  </si>
  <si>
    <t>Takstgruppe 4</t>
  </si>
  <si>
    <t>Takstgruppe 5</t>
  </si>
  <si>
    <t>Reparasjoner</t>
  </si>
  <si>
    <t>høreapparater</t>
  </si>
  <si>
    <t>Type/kvalitet</t>
  </si>
  <si>
    <t>Skallpropp, hard</t>
  </si>
  <si>
    <t>Skallpropp, myk</t>
  </si>
  <si>
    <t>Standard propp, hard</t>
  </si>
  <si>
    <t>Standard propp, myk</t>
  </si>
  <si>
    <t>Silhuett propp, hard</t>
  </si>
  <si>
    <t>Titanpropp</t>
  </si>
  <si>
    <t>Keramisk propp</t>
  </si>
  <si>
    <t>Forgylling</t>
  </si>
  <si>
    <t>Allergibehandling</t>
  </si>
  <si>
    <t>Farver/pynt</t>
  </si>
  <si>
    <t>Propp til CI</t>
  </si>
  <si>
    <t>Propp til tinnitusmasker</t>
  </si>
  <si>
    <t>Custom propp til RITE/RIC</t>
  </si>
  <si>
    <t>Biopor, myk</t>
  </si>
  <si>
    <t>Thermosoft, myk</t>
  </si>
  <si>
    <t>FlexVent propp</t>
  </si>
  <si>
    <t>Nanolakk</t>
  </si>
  <si>
    <t>Kanalpropp, myk</t>
  </si>
  <si>
    <t>Kanalpropp, hard</t>
  </si>
  <si>
    <t>Kostnad</t>
  </si>
  <si>
    <t>kostnad</t>
  </si>
  <si>
    <t>uten mva</t>
  </si>
  <si>
    <t>(kr)</t>
  </si>
  <si>
    <t>GN ReSound</t>
  </si>
  <si>
    <t>Unitron</t>
  </si>
  <si>
    <t>Totalt alle leverandører</t>
  </si>
  <si>
    <t>Pris</t>
  </si>
  <si>
    <t>kontrollsum</t>
  </si>
  <si>
    <t>Antall solgte apparater over prisgrensen</t>
  </si>
  <si>
    <t>Andel solgte apparater over prisgrensen</t>
  </si>
  <si>
    <t>Andel RITE</t>
  </si>
  <si>
    <t>Andel med tynnslange</t>
  </si>
  <si>
    <t>pris eks mva</t>
  </si>
  <si>
    <t>Slange</t>
  </si>
  <si>
    <t>RITE</t>
  </si>
  <si>
    <t>tynn</t>
  </si>
  <si>
    <t>tynn mulig</t>
  </si>
  <si>
    <t>Andel der tynnslange er mulig å velge</t>
  </si>
  <si>
    <t xml:space="preserve">Nytt custom skall til i-øret </t>
  </si>
  <si>
    <t>gjennomsnitt</t>
  </si>
  <si>
    <t>1. kv</t>
  </si>
  <si>
    <t>2. kv</t>
  </si>
  <si>
    <t>3. kv</t>
  </si>
  <si>
    <t>4. kv</t>
  </si>
  <si>
    <t>1. kv antall</t>
  </si>
  <si>
    <t>2. kv antall</t>
  </si>
  <si>
    <t>3. kv antall</t>
  </si>
  <si>
    <t>4. kv antall</t>
  </si>
  <si>
    <t>Sum antall</t>
  </si>
  <si>
    <t>Kostnad kr eks mva</t>
  </si>
  <si>
    <t xml:space="preserve">sum </t>
  </si>
  <si>
    <t>Vigo Pro ITE</t>
  </si>
  <si>
    <t>Tillegg for "mellomvarianter"</t>
  </si>
  <si>
    <t>Propp til CI, hard</t>
  </si>
  <si>
    <t>Propp til CI, myk</t>
  </si>
  <si>
    <t>Forgylt propp</t>
  </si>
  <si>
    <t>Custom propp til tynnslange</t>
  </si>
  <si>
    <t xml:space="preserve">Vigo Pro BTE Rite </t>
  </si>
  <si>
    <t>Vigo Pro BTE Rite P</t>
  </si>
  <si>
    <t>Siemens</t>
  </si>
  <si>
    <t>Proprietære propper</t>
  </si>
  <si>
    <t>Generiske propper 
("proppeanbudet")</t>
  </si>
  <si>
    <t xml:space="preserve">VERSATA FS P </t>
  </si>
  <si>
    <t>Post</t>
  </si>
  <si>
    <t>GN</t>
  </si>
  <si>
    <t>ION 400</t>
  </si>
  <si>
    <t>Zon SLA propp</t>
  </si>
  <si>
    <t>Epoq xw BTE</t>
  </si>
  <si>
    <t>Epoq xw ITE</t>
  </si>
  <si>
    <t>Epoq xw RITE</t>
  </si>
  <si>
    <t>dette kv.</t>
  </si>
  <si>
    <t>underrapportert</t>
  </si>
  <si>
    <t>Metrix MX 10/30/40/50</t>
  </si>
  <si>
    <t>Metrix MX60/70/80</t>
  </si>
  <si>
    <t>Plus 5 RP60/70/80</t>
  </si>
  <si>
    <t>ONE</t>
  </si>
  <si>
    <t>S-650</t>
  </si>
  <si>
    <t>Ponto</t>
  </si>
  <si>
    <t>Agil Pro ITE</t>
  </si>
  <si>
    <t>Agil ITE</t>
  </si>
  <si>
    <t>Høreapparater totalt, alle leverandører</t>
  </si>
  <si>
    <t>Lev</t>
  </si>
  <si>
    <t>Prio-</t>
  </si>
  <si>
    <t>ritet</t>
  </si>
  <si>
    <t>LV730-D</t>
  </si>
  <si>
    <t>LV761-DI</t>
  </si>
  <si>
    <t>LV771-DVI</t>
  </si>
  <si>
    <t>ZG71-DVI</t>
  </si>
  <si>
    <t>ZG61-DI</t>
  </si>
  <si>
    <t>Dot 2060</t>
  </si>
  <si>
    <t>Pulse PS 60</t>
  </si>
  <si>
    <t>Serie</t>
  </si>
  <si>
    <t>12</t>
  </si>
  <si>
    <t>Agil Pro</t>
  </si>
  <si>
    <t>C4-9</t>
  </si>
  <si>
    <t>C4-m</t>
  </si>
  <si>
    <t>C4-PA</t>
  </si>
  <si>
    <t>C4-CIC</t>
  </si>
  <si>
    <t>Antall modeller (linjer i regnearket)</t>
  </si>
  <si>
    <t>uten avtale</t>
  </si>
  <si>
    <t>Totalt 1</t>
  </si>
  <si>
    <t>Totalt 2</t>
  </si>
  <si>
    <t>Totalt 3</t>
  </si>
  <si>
    <t>Totalt 4</t>
  </si>
  <si>
    <t>Totalt 5</t>
  </si>
  <si>
    <t>Totalt 6</t>
  </si>
  <si>
    <t>Totalt 7</t>
  </si>
  <si>
    <t>Totalt 8</t>
  </si>
  <si>
    <t>Totalt 9</t>
  </si>
  <si>
    <t>Totalt 10</t>
  </si>
  <si>
    <t>Totalt uten avtale</t>
  </si>
  <si>
    <t>Totalt</t>
  </si>
  <si>
    <t>Produkter som ikke er på avtale</t>
  </si>
  <si>
    <t>Namsos Audiosenter</t>
  </si>
  <si>
    <t>Chili SP7</t>
  </si>
  <si>
    <t>Chili SP9</t>
  </si>
  <si>
    <t>Acto ITE</t>
  </si>
  <si>
    <t>Acto</t>
  </si>
  <si>
    <t>Acto Pro</t>
  </si>
  <si>
    <t>Acto Pro ITE</t>
  </si>
  <si>
    <t>Motion 701 P</t>
  </si>
  <si>
    <t>Motion 701 S</t>
  </si>
  <si>
    <t>benforankrede</t>
  </si>
  <si>
    <t>tinnitus-</t>
  </si>
  <si>
    <t>maskerere</t>
  </si>
  <si>
    <t>Solana microP</t>
  </si>
  <si>
    <t>Ambra microP</t>
  </si>
  <si>
    <t>Ambra SP</t>
  </si>
  <si>
    <t xml:space="preserve">Aquaris 701 </t>
  </si>
  <si>
    <t>Chronos 9</t>
  </si>
  <si>
    <t>Ambra 312 UZ</t>
  </si>
  <si>
    <t>Next 16 P</t>
  </si>
  <si>
    <t>Antall modeller på avtale brutto</t>
  </si>
  <si>
    <t>2012</t>
  </si>
  <si>
    <t>S-5000</t>
  </si>
  <si>
    <t>Passport</t>
  </si>
  <si>
    <t>Passport BTE</t>
  </si>
  <si>
    <t>Passport BTE HP</t>
  </si>
  <si>
    <t>Passport ITC Dir</t>
  </si>
  <si>
    <t>Passport ITE Dir</t>
  </si>
  <si>
    <t>Passport CIC</t>
  </si>
  <si>
    <t>Passport Moxi 3G CRT</t>
  </si>
  <si>
    <t>Versata Art</t>
  </si>
  <si>
    <t>Versata Art P</t>
  </si>
  <si>
    <t>Versata Art micro</t>
  </si>
  <si>
    <t>Versata Art FS P VZ</t>
  </si>
  <si>
    <t>Versata Art ITC HS P VZ petite</t>
  </si>
  <si>
    <t>Versata Art CIC MC P petite</t>
  </si>
  <si>
    <t>Quantum</t>
  </si>
  <si>
    <t>Quantum 12 BTE HP</t>
  </si>
  <si>
    <t>Quantum 12 BTE S</t>
  </si>
  <si>
    <t>Quantum ITC P Dir</t>
  </si>
  <si>
    <t>Quantum ITE P Dir</t>
  </si>
  <si>
    <t>Quantum CIC P</t>
  </si>
  <si>
    <t>Motion 301 P</t>
  </si>
  <si>
    <t>Motion 301 SX</t>
  </si>
  <si>
    <t>Pure 301 (S)</t>
  </si>
  <si>
    <t>Motion 301 ITE</t>
  </si>
  <si>
    <t>Motion 301 ITC</t>
  </si>
  <si>
    <t>Motion 301 CIC</t>
  </si>
  <si>
    <t>Exelia Art</t>
  </si>
  <si>
    <t>Exelia Art P</t>
  </si>
  <si>
    <t>Exelia Art micro</t>
  </si>
  <si>
    <t>Exelia Art ITC HS P VZ</t>
  </si>
  <si>
    <t>Exelia Art FS P VZ</t>
  </si>
  <si>
    <t>Exelia Art CIC MC P petite</t>
  </si>
  <si>
    <t>Motion 501 DP</t>
  </si>
  <si>
    <t>Life 501</t>
  </si>
  <si>
    <t>Motion 501 ITE</t>
  </si>
  <si>
    <t>Motion 501 ITC</t>
  </si>
  <si>
    <t>Motion 501 CIC</t>
  </si>
  <si>
    <t>Pure Carat 501 (M)</t>
  </si>
  <si>
    <t>Clear220</t>
  </si>
  <si>
    <t>C2-9</t>
  </si>
  <si>
    <t>C2-FS</t>
  </si>
  <si>
    <t>C2-XP</t>
  </si>
  <si>
    <t>C2-CIC</t>
  </si>
  <si>
    <t>Clear220-2</t>
  </si>
  <si>
    <t>C2-PA</t>
  </si>
  <si>
    <t>Cemia</t>
  </si>
  <si>
    <t>Cemia BTE Power</t>
  </si>
  <si>
    <t>Cemia BTE Slim</t>
  </si>
  <si>
    <t>Cemia BTE X-Mini</t>
  </si>
  <si>
    <t>Cemia ITE</t>
  </si>
  <si>
    <t>Cemia ITC</t>
  </si>
  <si>
    <t>Lumeo</t>
  </si>
  <si>
    <t>Lumeo BTE Power</t>
  </si>
  <si>
    <t>Lumeo BTE Slim</t>
  </si>
  <si>
    <t>Lumeo BTE X-Mini</t>
  </si>
  <si>
    <t>Lumeo ITE</t>
  </si>
  <si>
    <t>Lumeo ITC</t>
  </si>
  <si>
    <t>Clear330</t>
  </si>
  <si>
    <t>C3-9</t>
  </si>
  <si>
    <t>C3-FS</t>
  </si>
  <si>
    <t>C3-XP</t>
  </si>
  <si>
    <t>C3-CIC</t>
  </si>
  <si>
    <t>Clear330-2</t>
  </si>
  <si>
    <t>C3-PA</t>
  </si>
  <si>
    <t>Auriga</t>
  </si>
  <si>
    <t>Auriga BTE Power</t>
  </si>
  <si>
    <t>Auriga BTE Slim</t>
  </si>
  <si>
    <t>Auriga BTE X-Mini</t>
  </si>
  <si>
    <t>Auriga ITE</t>
  </si>
  <si>
    <t>Auriga ITC</t>
  </si>
  <si>
    <t>Chronos 5</t>
  </si>
  <si>
    <t>Chronos 5 CP</t>
  </si>
  <si>
    <t>Chronos 5 M</t>
  </si>
  <si>
    <t>Chronos 5 NR</t>
  </si>
  <si>
    <t>Chronos 5 ITCD</t>
  </si>
  <si>
    <t>Chronos 5 ITCP</t>
  </si>
  <si>
    <t>Chronos 5 CIC</t>
  </si>
  <si>
    <t>X Series 110</t>
  </si>
  <si>
    <t xml:space="preserve">X Series110 BTE 13  </t>
  </si>
  <si>
    <t xml:space="preserve">X Series110 BTE Mini </t>
  </si>
  <si>
    <t>X Series110 ITE</t>
  </si>
  <si>
    <t>X Series110 ITC</t>
  </si>
  <si>
    <t>X Series110 RIC10 Xino 50 dB</t>
  </si>
  <si>
    <t>X Series110 CIC</t>
  </si>
  <si>
    <t>x</t>
  </si>
  <si>
    <t>BTE power</t>
  </si>
  <si>
    <t>Ambra</t>
  </si>
  <si>
    <t>Ambra M H2O</t>
  </si>
  <si>
    <t>Ambra 13 UZ</t>
  </si>
  <si>
    <t>Ambra 10 petite</t>
  </si>
  <si>
    <t>501 (Motion)</t>
  </si>
  <si>
    <t>Motion 501 SX</t>
  </si>
  <si>
    <t>Motion 501 S</t>
  </si>
  <si>
    <t>Pure 501 (S)</t>
  </si>
  <si>
    <t>Solana</t>
  </si>
  <si>
    <t>Solana SP</t>
  </si>
  <si>
    <t>Solana M H2O</t>
  </si>
  <si>
    <t>Solana 13 UZ</t>
  </si>
  <si>
    <t>Solana 312 UZ</t>
  </si>
  <si>
    <t>Solana 10 petite</t>
  </si>
  <si>
    <t>Clear 330</t>
  </si>
  <si>
    <t>Quantum 20 BTE HP</t>
  </si>
  <si>
    <t>Quantum 20 BTE S</t>
  </si>
  <si>
    <t>Quantum 20 ITC P</t>
  </si>
  <si>
    <t>Quantum 20 ITE P</t>
  </si>
  <si>
    <t>Quantum 20 CIC P</t>
  </si>
  <si>
    <t>Chronos 9 CPx</t>
  </si>
  <si>
    <t>Chronos 9 CP</t>
  </si>
  <si>
    <t>Chronos 9 M</t>
  </si>
  <si>
    <t>Chronos 9 NR</t>
  </si>
  <si>
    <t>Chronos 9 ITCD</t>
  </si>
  <si>
    <t>Chronos 9 ITCP</t>
  </si>
  <si>
    <t>Chronos 9 CIC</t>
  </si>
  <si>
    <t>Clear 440</t>
  </si>
  <si>
    <t>C4-FS</t>
  </si>
  <si>
    <t>C4-XP</t>
  </si>
  <si>
    <t>Clear440-2</t>
  </si>
  <si>
    <t>701 (Motion)</t>
  </si>
  <si>
    <t>Motion 701 DP</t>
  </si>
  <si>
    <t>Motion 701 DM</t>
  </si>
  <si>
    <t>Motion 701 ITE</t>
  </si>
  <si>
    <t>Motion 701 ITC</t>
  </si>
  <si>
    <t>iMini 701</t>
  </si>
  <si>
    <t>Pure 701 (S)</t>
  </si>
  <si>
    <t>701 (Nitro)</t>
  </si>
  <si>
    <t>Nitro 701 SP</t>
  </si>
  <si>
    <t>Motion 701 SX</t>
  </si>
  <si>
    <t>Nitro 701 ITE</t>
  </si>
  <si>
    <t>Nitro 701 CIC</t>
  </si>
  <si>
    <t>Pure Carat 701 (M)</t>
  </si>
  <si>
    <t>Acto BTE/Power</t>
  </si>
  <si>
    <t xml:space="preserve">Acto BTE </t>
  </si>
  <si>
    <t>Acto Rite</t>
  </si>
  <si>
    <t>Acto CIC/Power</t>
  </si>
  <si>
    <t xml:space="preserve">Acto CIC </t>
  </si>
  <si>
    <t>LumeoBTE Slim</t>
  </si>
  <si>
    <t>Acto Pro BTE/Power</t>
  </si>
  <si>
    <t xml:space="preserve">Acto Pro BTE </t>
  </si>
  <si>
    <t>Acto Pro miniRite</t>
  </si>
  <si>
    <t>Acto Pro ITC/P</t>
  </si>
  <si>
    <t xml:space="preserve">Acto Pro CIC </t>
  </si>
  <si>
    <t xml:space="preserve">Auriga </t>
  </si>
  <si>
    <t>Veneto</t>
  </si>
  <si>
    <t>Veneto BTE Power</t>
  </si>
  <si>
    <t>Veneto BTE Slim</t>
  </si>
  <si>
    <t>Veneto BTE X-Mini</t>
  </si>
  <si>
    <t>Veneto ITE</t>
  </si>
  <si>
    <t>Veneto ITC</t>
  </si>
  <si>
    <t xml:space="preserve">Agil  </t>
  </si>
  <si>
    <t>Agil BTE/Power</t>
  </si>
  <si>
    <t xml:space="preserve">Agil BTE </t>
  </si>
  <si>
    <t>Agil Rite</t>
  </si>
  <si>
    <t>Agil CIC/Power</t>
  </si>
  <si>
    <t xml:space="preserve">Agil CIC </t>
  </si>
  <si>
    <t>Agil Pro BTE/Power</t>
  </si>
  <si>
    <t xml:space="preserve">Agil Pro BTE </t>
  </si>
  <si>
    <t>Agil Pro miniRite</t>
  </si>
  <si>
    <t>Agil Pro ITC</t>
  </si>
  <si>
    <t xml:space="preserve">Agil Pro CIC </t>
  </si>
  <si>
    <t xml:space="preserve">Alera </t>
  </si>
  <si>
    <t>AL987DVIW</t>
  </si>
  <si>
    <t>AL977DVIW</t>
  </si>
  <si>
    <t>AL967DIW</t>
  </si>
  <si>
    <t>AL962DVIRW</t>
  </si>
  <si>
    <t>AL940-D</t>
  </si>
  <si>
    <t>AL930-D</t>
  </si>
  <si>
    <t>AL910-M</t>
  </si>
  <si>
    <t>Alera (2)</t>
  </si>
  <si>
    <t>AL961DW</t>
  </si>
  <si>
    <t>Phonak AS</t>
  </si>
  <si>
    <t>Phonak AG</t>
  </si>
  <si>
    <t>Siemens Høreapparater AS</t>
  </si>
  <si>
    <t>Siemens Audiologische Technik AG</t>
  </si>
  <si>
    <t>Widex</t>
  </si>
  <si>
    <t>Unitron Hearing AS</t>
  </si>
  <si>
    <t>Unitron Hearing Ltd</t>
  </si>
  <si>
    <t>Gewa AS</t>
  </si>
  <si>
    <t>Bernafon</t>
  </si>
  <si>
    <t>Oticon AS</t>
  </si>
  <si>
    <t>Oticon A/S</t>
  </si>
  <si>
    <t>Medus AS</t>
  </si>
  <si>
    <t>Hansaton GmbH</t>
  </si>
  <si>
    <t>GN ReSound Norge AS</t>
  </si>
  <si>
    <t>Starkey Norway AS</t>
  </si>
  <si>
    <t>Starkey Laboratories</t>
  </si>
  <si>
    <t>Versata Art SP</t>
  </si>
  <si>
    <t>Exelia Art SP</t>
  </si>
  <si>
    <t>Naìda S IX UP</t>
  </si>
  <si>
    <t>Naìda S IX SP</t>
  </si>
  <si>
    <t>Chronos 7</t>
  </si>
  <si>
    <t>Chronos 7 CPx</t>
  </si>
  <si>
    <t>Chili</t>
  </si>
  <si>
    <t>Chili SP5</t>
  </si>
  <si>
    <t>Chronos 5 CPx</t>
  </si>
  <si>
    <t>X Series110 BTE Power Plus</t>
  </si>
  <si>
    <t>900 SAFARI SP</t>
  </si>
  <si>
    <t>Alera AL987</t>
  </si>
  <si>
    <t>LV81 DVI</t>
  </si>
  <si>
    <t>Sparx SP90-VI</t>
  </si>
  <si>
    <t>Force FRC95</t>
  </si>
  <si>
    <t xml:space="preserve">Bernafon </t>
  </si>
  <si>
    <t>S2-VSD-SP</t>
  </si>
  <si>
    <t>S4-VSD-SP</t>
  </si>
  <si>
    <t>X Series110 RIC13 AP 70 dB</t>
  </si>
  <si>
    <t>C2-m</t>
  </si>
  <si>
    <t>Passport Shift</t>
  </si>
  <si>
    <t>Exèlia Art</t>
  </si>
  <si>
    <t>Exelìa Art micro petite</t>
  </si>
  <si>
    <t>Ambra petite</t>
  </si>
  <si>
    <t>Solana petite</t>
  </si>
  <si>
    <t>Aùdeo</t>
  </si>
  <si>
    <t>Audeo S mini IX</t>
  </si>
  <si>
    <t>C3-m</t>
  </si>
  <si>
    <t>Pure 701 SE</t>
  </si>
  <si>
    <t>Gem 12+</t>
  </si>
  <si>
    <t>Pearl 6</t>
  </si>
  <si>
    <t>Pearl 12</t>
  </si>
  <si>
    <t>Intiga</t>
  </si>
  <si>
    <t>Intiga 6</t>
  </si>
  <si>
    <t>Pearl 24</t>
  </si>
  <si>
    <t>Intiga 8</t>
  </si>
  <si>
    <t>Intiga 10</t>
  </si>
  <si>
    <t>AL960DR</t>
  </si>
  <si>
    <t>Sonic Innovations Inc</t>
  </si>
  <si>
    <t>Medical</t>
  </si>
  <si>
    <t>Ponto Pro</t>
  </si>
  <si>
    <t>Ponto Pro Power</t>
  </si>
  <si>
    <t>BP110P</t>
  </si>
  <si>
    <t>BP100refined</t>
  </si>
  <si>
    <t>Oticon Medical AB</t>
  </si>
  <si>
    <t>Cochlear</t>
  </si>
  <si>
    <t>CROS Ambra SP</t>
  </si>
  <si>
    <t>CROS Ambra M H2O</t>
  </si>
  <si>
    <t>Naìda</t>
  </si>
  <si>
    <t>CROS Naìda S CRT IX (xS Receiver)</t>
  </si>
  <si>
    <t>CROS Ambra microP</t>
  </si>
  <si>
    <t>CROS Naìda S IX UP</t>
  </si>
  <si>
    <t>CROS Naìda S IX SP</t>
  </si>
  <si>
    <t>CROS Ambra 312 UZ</t>
  </si>
  <si>
    <t>Tandem</t>
  </si>
  <si>
    <t>Tandem 16 M</t>
  </si>
  <si>
    <t>Tandem 16</t>
  </si>
  <si>
    <t>Naìda (CRT)</t>
  </si>
  <si>
    <t>Naida S IX CRT (xS Receiver)</t>
  </si>
  <si>
    <t>Naìda S V CRT (xS Receiver)</t>
  </si>
  <si>
    <t>Exelìa Art</t>
  </si>
  <si>
    <t>Exelia Art M</t>
  </si>
  <si>
    <t>Naida S IX SP</t>
  </si>
  <si>
    <t>Naida S IX UP</t>
  </si>
  <si>
    <t>Explorer 500 P</t>
  </si>
  <si>
    <t>Safari SP</t>
  </si>
  <si>
    <t>Beltone TBR 25</t>
  </si>
  <si>
    <t>Wave 2G Mini Canal</t>
  </si>
  <si>
    <t>Wave 2G Slim</t>
  </si>
  <si>
    <t>Wave 2G X-Mini</t>
  </si>
  <si>
    <t>Wave 2G Cymba</t>
  </si>
  <si>
    <t>Headwaters Inc</t>
  </si>
  <si>
    <t>ITC</t>
  </si>
  <si>
    <t>-</t>
  </si>
  <si>
    <t>Helix</t>
  </si>
  <si>
    <t>Bord</t>
  </si>
  <si>
    <t>11</t>
  </si>
  <si>
    <t>13</t>
  </si>
  <si>
    <t>14</t>
  </si>
  <si>
    <t>Totalt 11-14</t>
  </si>
  <si>
    <t>Sett inn nye linjer ved behov. Merk dem med en farve.</t>
  </si>
  <si>
    <t>Reach RCH76</t>
  </si>
  <si>
    <t>LV530-D</t>
  </si>
  <si>
    <t>LV561-DI</t>
  </si>
  <si>
    <t>LV571-DVI</t>
  </si>
  <si>
    <t>LV 61-DI</t>
  </si>
  <si>
    <t>LV 71-DVI</t>
  </si>
  <si>
    <t>LV 70-DVIR</t>
  </si>
  <si>
    <t>Innsatt 3. kv 2012.</t>
  </si>
  <si>
    <t>Aller rapportert i post 5.</t>
  </si>
  <si>
    <t>Også i post 1. Alle rapportert her.</t>
  </si>
  <si>
    <t>REAL9</t>
  </si>
  <si>
    <t>REAL19</t>
  </si>
  <si>
    <t>Passion 115</t>
  </si>
  <si>
    <t>REAL X</t>
  </si>
  <si>
    <t>Artikkel-nummer</t>
  </si>
  <si>
    <t>Noise canal, myk</t>
  </si>
  <si>
    <t>Åpen propp, hard</t>
  </si>
  <si>
    <t>Air-propp (overflate)</t>
  </si>
  <si>
    <t>Spider-propp (overflate)</t>
  </si>
  <si>
    <t>Chess-propp (overflate)</t>
  </si>
  <si>
    <t>Myknende (Thermotec)</t>
  </si>
  <si>
    <t>Jordbærpropp, hard</t>
  </si>
  <si>
    <t>Titanbelegg</t>
  </si>
  <si>
    <t>Alta</t>
  </si>
  <si>
    <t>Alta Pro</t>
  </si>
  <si>
    <t>Alta BTE/Power</t>
  </si>
  <si>
    <t xml:space="preserve">Alta BTE </t>
  </si>
  <si>
    <t>Alta Rite</t>
  </si>
  <si>
    <t>Alta ITE</t>
  </si>
  <si>
    <t xml:space="preserve">Alta CIC </t>
  </si>
  <si>
    <t>Alta ITC</t>
  </si>
  <si>
    <t>Alta Pro BTE/Power</t>
  </si>
  <si>
    <t xml:space="preserve">Alta Pro BTE </t>
  </si>
  <si>
    <t>Alta Pro miniRite</t>
  </si>
  <si>
    <t>Alta Pro ITE</t>
  </si>
  <si>
    <t>Alta Pro ITC</t>
  </si>
  <si>
    <t xml:space="preserve">Alta Pro CIC </t>
  </si>
  <si>
    <t>Ny 1.2.13</t>
  </si>
  <si>
    <t>Utgår 1.2.13</t>
  </si>
  <si>
    <t>Ørepropper levert til NAV i 2013</t>
  </si>
  <si>
    <t>Rapportert i post 1</t>
  </si>
  <si>
    <t>Rapportert i post 3</t>
  </si>
  <si>
    <t>Pure 7mi</t>
  </si>
  <si>
    <t>10A</t>
  </si>
  <si>
    <t>1</t>
  </si>
  <si>
    <t>Pure Carat 501</t>
  </si>
  <si>
    <t>2</t>
  </si>
  <si>
    <t>Pure 5mi</t>
  </si>
  <si>
    <t>3</t>
  </si>
  <si>
    <t>Verso</t>
  </si>
  <si>
    <t>VOT977-DW</t>
  </si>
  <si>
    <t>4</t>
  </si>
  <si>
    <t>VOT988-DW</t>
  </si>
  <si>
    <t>5</t>
  </si>
  <si>
    <t>VOT962-DRW</t>
  </si>
  <si>
    <t>6</t>
  </si>
  <si>
    <t>Pure Carat 701</t>
  </si>
  <si>
    <t>7</t>
  </si>
  <si>
    <t>Motion 701 TSX</t>
  </si>
  <si>
    <t>8</t>
  </si>
  <si>
    <t>VOT967-DW</t>
  </si>
  <si>
    <t>9</t>
  </si>
  <si>
    <t>Soul Economy X-Mini</t>
  </si>
  <si>
    <t>10</t>
  </si>
  <si>
    <t>Soul Economy Mini canal</t>
  </si>
  <si>
    <t>Soul Business X-Mini</t>
  </si>
  <si>
    <t>Soul Business Mini Canal</t>
  </si>
  <si>
    <t>VOT961-DRW</t>
  </si>
  <si>
    <t>Soul Economy Slim</t>
  </si>
  <si>
    <t>15</t>
  </si>
  <si>
    <t>Alera</t>
  </si>
  <si>
    <t>ALT987-DVIW</t>
  </si>
  <si>
    <t>16</t>
  </si>
  <si>
    <t>ALT977-DVIW</t>
  </si>
  <si>
    <t>17</t>
  </si>
  <si>
    <t>Soul Business Slim</t>
  </si>
  <si>
    <t>18</t>
  </si>
  <si>
    <t>ALT962-DVIRW</t>
  </si>
  <si>
    <t>19</t>
  </si>
  <si>
    <t>ALT967-DIW</t>
  </si>
  <si>
    <t>20</t>
  </si>
  <si>
    <t>Mind</t>
  </si>
  <si>
    <t>M4-19</t>
  </si>
  <si>
    <t>21</t>
  </si>
  <si>
    <t>M4-9</t>
  </si>
  <si>
    <t>22</t>
  </si>
  <si>
    <t>Gr 5 utenom avtale</t>
  </si>
  <si>
    <t>S-3000</t>
  </si>
  <si>
    <t>22 MA</t>
  </si>
  <si>
    <t>slange</t>
  </si>
  <si>
    <t>Totalt, alle leverandører</t>
  </si>
  <si>
    <t>61 for mye 1. kv -13</t>
  </si>
  <si>
    <t>61 for lite 1. kv -13</t>
  </si>
  <si>
    <t>Tinnitusmaskerere</t>
  </si>
  <si>
    <t>Sum produkter som ikke er på avtale</t>
  </si>
  <si>
    <t>ElectroNor AS</t>
  </si>
  <si>
    <t>Audifon GmbH &amp; Co.KG</t>
  </si>
  <si>
    <t>Jump S TRT</t>
  </si>
  <si>
    <t>Prisgrense TM</t>
  </si>
  <si>
    <t>Velocity mini BTE</t>
  </si>
  <si>
    <t>Velocity ITE</t>
  </si>
  <si>
    <t>Gammel pris fra 30.06.2011</t>
  </si>
  <si>
    <t>Passport Moxi 3G</t>
  </si>
  <si>
    <t>Satt inn 8.13</t>
  </si>
  <si>
    <t>2013</t>
  </si>
  <si>
    <t>Acriva 9</t>
  </si>
  <si>
    <t>CPx</t>
  </si>
  <si>
    <t>CP</t>
  </si>
  <si>
    <t>NR</t>
  </si>
  <si>
    <t>ITCD</t>
  </si>
  <si>
    <t>Utgår 1.7.13</t>
  </si>
  <si>
    <t>Ny 1.7.13</t>
  </si>
  <si>
    <t>7mi</t>
  </si>
  <si>
    <t>Motion 7mi P</t>
  </si>
  <si>
    <t>Motion 7mi M</t>
  </si>
  <si>
    <t>Motion 7mi SX</t>
  </si>
  <si>
    <t>Insio 7mi ITE</t>
  </si>
  <si>
    <t>Insio 7mi ITC</t>
  </si>
  <si>
    <t>Insio 7mi CIC</t>
  </si>
  <si>
    <t>Ace 7mi (M)</t>
  </si>
  <si>
    <t>6-Series</t>
  </si>
  <si>
    <t>Quantum 6 S BTE</t>
  </si>
  <si>
    <t>Quantum 6 HP</t>
  </si>
  <si>
    <t>Quantum 6 P C</t>
  </si>
  <si>
    <t>Quantum 6 P CIC</t>
  </si>
  <si>
    <t>Moxi 6 RIC</t>
  </si>
  <si>
    <t>Pro-Series</t>
  </si>
  <si>
    <t>Quantum Pro HP BTE</t>
  </si>
  <si>
    <t>Quantum Pro S BTE</t>
  </si>
  <si>
    <t>Quantum Pro P 312 C</t>
  </si>
  <si>
    <t>Quantum Pro P 13 C</t>
  </si>
  <si>
    <t>Moxi Pro</t>
  </si>
  <si>
    <t xml:space="preserve">3 Series 110 </t>
  </si>
  <si>
    <t xml:space="preserve">3 Series 110 RIC 312 AP </t>
  </si>
  <si>
    <t>Q50-Series</t>
  </si>
  <si>
    <t>Bolero Q 50 P</t>
  </si>
  <si>
    <t>Bolero Q 50 M13</t>
  </si>
  <si>
    <t>Virto Q 50 312 SP</t>
  </si>
  <si>
    <t>Virto Q 50 13 SP</t>
  </si>
  <si>
    <t>Audeo Q 50 312T xS</t>
  </si>
  <si>
    <t>Q90-Series</t>
  </si>
  <si>
    <t>Bolero Q 90 SP</t>
  </si>
  <si>
    <t>Bolero Q 90 P</t>
  </si>
  <si>
    <t>Bolero Q 90 M13</t>
  </si>
  <si>
    <t>Virto Q 90 13 SP</t>
  </si>
  <si>
    <t>Virto Q 90 312 M</t>
  </si>
  <si>
    <t>Audeo Q 90 312T xS</t>
  </si>
  <si>
    <t>Q70-Series</t>
  </si>
  <si>
    <t>Bolero Q 70 SP</t>
  </si>
  <si>
    <t>Bolero Q 70 P</t>
  </si>
  <si>
    <t>Bolero Q 70 M13</t>
  </si>
  <si>
    <t>Virto Q 70 13 SP</t>
  </si>
  <si>
    <t>Virto Q 70 312 M</t>
  </si>
  <si>
    <t>Virto Q 70 10 M</t>
  </si>
  <si>
    <t>Utgår 1.7.13. Rapportert i post 1</t>
  </si>
  <si>
    <t>Naida Q 70 SP</t>
  </si>
  <si>
    <t>Naida Q 70 UP</t>
  </si>
  <si>
    <t>CROS H2O Bolero Q 90 SP</t>
  </si>
  <si>
    <t>CROS H2O Bolero Q 90 M13</t>
  </si>
  <si>
    <t>CROS H2O Bolero Q 90 P</t>
  </si>
  <si>
    <t>CROS Virto Q 90 312 M</t>
  </si>
  <si>
    <t>Utgår 1.7.13. Rapportert i post 2</t>
  </si>
  <si>
    <t>Post 1 Grunnserie</t>
  </si>
  <si>
    <t>Rapportert i post 1. Utgår 1.7.13</t>
  </si>
  <si>
    <t>Rapportert i post 2. Utgår 1.7.13</t>
  </si>
  <si>
    <t>Naida Q 70 RIC</t>
  </si>
  <si>
    <t>Bak øret power</t>
  </si>
  <si>
    <t>Bak øret alle</t>
  </si>
  <si>
    <t>Benforankret</t>
  </si>
  <si>
    <t>BAHA</t>
  </si>
  <si>
    <t>Andel med slange</t>
  </si>
  <si>
    <t>Andel uten slange/ledning (custom, BAHA,)</t>
  </si>
  <si>
    <t>Post 2 Avansert serie</t>
  </si>
  <si>
    <t>Post 5 Mini</t>
  </si>
  <si>
    <t>Post 6 Vanntett</t>
  </si>
  <si>
    <t>Post 7 Benforankret</t>
  </si>
  <si>
    <t>Post 8 Trådløs CROS</t>
  </si>
  <si>
    <t>Post 9 For små barn</t>
  </si>
  <si>
    <t>Post 10 Høreapparat med tinnitusmaskerer</t>
  </si>
  <si>
    <t>Post 3 Superpower med slange</t>
  </si>
  <si>
    <t>Post 4 Superpower med  RITE</t>
  </si>
  <si>
    <t>Sum antall høreapparater</t>
  </si>
  <si>
    <t>microSavia Art CRT</t>
  </si>
  <si>
    <t>Versata micro/M/P/SP</t>
  </si>
  <si>
    <t>Naida V SP</t>
  </si>
  <si>
    <t>Lagt til oversikten i kvartal 4</t>
  </si>
  <si>
    <t>siste kvartal</t>
  </si>
  <si>
    <t>1995</t>
  </si>
  <si>
    <t>1996</t>
  </si>
  <si>
    <t>1997</t>
  </si>
  <si>
    <t>AudioPhoenix</t>
  </si>
  <si>
    <t>AudioTek</t>
  </si>
  <si>
    <t>AurisMed</t>
  </si>
  <si>
    <t>Beltone (Philips)</t>
  </si>
  <si>
    <t>ReSound (Danavox)</t>
  </si>
  <si>
    <r>
      <t xml:space="preserve">Siemens </t>
    </r>
    <r>
      <rPr>
        <sz val="8"/>
        <rFont val="Arial"/>
        <family val="2"/>
      </rPr>
      <t>(Audiotronics før 2009)</t>
    </r>
  </si>
  <si>
    <t>andre</t>
  </si>
  <si>
    <t>sum antall høreapp.</t>
  </si>
  <si>
    <t>Viktige hendelser</t>
  </si>
  <si>
    <t>1.2.2010 kommisjonslagrene hos avtalespesialistene avvikles.</t>
  </si>
  <si>
    <t>Dvs.NAV betaler når apparatet er bestilt til utprøvingslager.</t>
  </si>
  <si>
    <t>2.5.2011 bruker blir eier av apparatet.</t>
  </si>
  <si>
    <r>
      <t xml:space="preserve">1.7.2012 faktura betales </t>
    </r>
    <r>
      <rPr>
        <b/>
        <sz val="10"/>
        <rFont val="MS Sans Serif"/>
        <family val="2"/>
      </rPr>
      <t>etter</t>
    </r>
    <r>
      <rPr>
        <sz val="10"/>
        <rFont val="MS Sans Serif"/>
        <family val="2"/>
      </rPr>
      <t xml:space="preserve"> endelig tildeling.</t>
    </r>
  </si>
  <si>
    <t>andre:</t>
  </si>
  <si>
    <t>3M</t>
  </si>
  <si>
    <t>Norsk Audio</t>
  </si>
  <si>
    <t>Engebretsen</t>
  </si>
  <si>
    <t>Magmo</t>
  </si>
  <si>
    <t>AudioConsult</t>
  </si>
  <si>
    <t>sum mill. kr ex mva, ikke korrigert for prisgrensen</t>
  </si>
  <si>
    <t>sum mill. kr ex mva, korrigert for prisgrensen</t>
  </si>
  <si>
    <t>beregnet gjennomsnittspris</t>
  </si>
  <si>
    <t>kr pr apparat</t>
  </si>
  <si>
    <t>Andel BTE av alle</t>
  </si>
  <si>
    <t>Andel RITE av alle</t>
  </si>
  <si>
    <r>
      <t xml:space="preserve">Prisgrensen gikk </t>
    </r>
    <r>
      <rPr>
        <b/>
        <sz val="10"/>
        <rFont val="Arial"/>
        <family val="2"/>
      </rPr>
      <t>ned</t>
    </r>
    <r>
      <rPr>
        <sz val="10"/>
        <rFont val="Arial"/>
        <family val="2"/>
      </rPr>
      <t xml:space="preserve"> 1.1.12</t>
    </r>
  </si>
  <si>
    <t>hele</t>
  </si>
  <si>
    <t>året</t>
  </si>
  <si>
    <t>(tinnitusmaskerere er ikke med)</t>
  </si>
  <si>
    <t>Høreapparater</t>
  </si>
  <si>
    <t>Generiske propper</t>
  </si>
  <si>
    <t>Reparasjoner (leverandører)</t>
  </si>
  <si>
    <t>Tilbehør</t>
  </si>
  <si>
    <t>kr eks. mva</t>
  </si>
  <si>
    <t>Sum tinnitusmaskerere</t>
  </si>
  <si>
    <t>hele dette arket</t>
  </si>
  <si>
    <t>hele 2013</t>
  </si>
  <si>
    <t xml:space="preserve">Sum produkter som ikke er på avtale </t>
  </si>
  <si>
    <t>115 høreapparater er innvilget på dispensasjon.</t>
  </si>
  <si>
    <t>64 apparater innvilget på dispensasjon.</t>
  </si>
  <si>
    <t>Rapportert av leverandørene</t>
  </si>
  <si>
    <t>NAVs regnskap</t>
  </si>
  <si>
    <t>Forsikring og lagerhold</t>
  </si>
  <si>
    <t>Egenbetaling er trukket fra</t>
  </si>
  <si>
    <t>Inkluderer trolig NAV-takst for reparasjon.</t>
  </si>
  <si>
    <t>Kommentar NAV-tall</t>
  </si>
  <si>
    <t>kr inkl. mva</t>
  </si>
  <si>
    <t>Myer er trollig bokført på høreapparater</t>
  </si>
  <si>
    <t>Vi har ingen konto for ørepropper og tilbehør elles.  Eg vil tru utgiftene til dette blir ført på den generelle innkjøpskontoen for apparater.</t>
  </si>
  <si>
    <t>Utgiftene til tinnitusmaskerar blir også i hovedsak ført der sjølv om vi har eigen konto for det.  Den blir lite brukt.</t>
  </si>
  <si>
    <t>Refusjon høreapprater</t>
  </si>
  <si>
    <t>I desember 2012 er det inkludert den ekstraordinære utbetalinga på ca 42,8 mill. kroner. Av desse var det ein refusjon på ca 7,8 mill. kroner som vart bokført i desember 2013.</t>
  </si>
  <si>
    <t>Sum i regnskapet</t>
  </si>
  <si>
    <t>Leverandørene har neppe rapportert de forhåndsfakturerte apparatene.</t>
  </si>
  <si>
    <t>Hvis vi legger til verdien av dem for hele året 2013</t>
  </si>
  <si>
    <t>får vi et mer realistisk uttrykk for hva kostnadene skulle vært uten forhåndsbetlingen.</t>
  </si>
  <si>
    <t>Refusjon i desember 2013</t>
  </si>
  <si>
    <t>Netto som ikke er fakturet på vanlig vis</t>
  </si>
  <si>
    <t>Realistisk totalsum for 2013</t>
  </si>
  <si>
    <t>Trolig bokført på høreapparater</t>
  </si>
  <si>
    <t>Forhåndsbetalt i desember 2012</t>
  </si>
  <si>
    <t>Moms er inkludert i alle beløp i regnskapet.</t>
  </si>
  <si>
    <t>Sum HA + TM</t>
  </si>
  <si>
    <t>Ser bort fra refusjonen her for å få sammenlignbare tall.</t>
  </si>
  <si>
    <t>Sverige</t>
  </si>
  <si>
    <t>Rettet formler 29.07.2014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</si>
</sst>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%"/>
    <numFmt numFmtId="165" formatCode="0.0"/>
    <numFmt numFmtId="166" formatCode="0.0%"/>
    <numFmt numFmtId="167" formatCode="_ * #,##0_ ;_ * \-#,##0_ ;_ * &quot;-&quot;??_ ;_ @_ "/>
  </numFmts>
  <fonts count="32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i/>
      <sz val="8.5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sz val="8.5"/>
      <color indexed="8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7"/>
      <name val="MS Sans Serif"/>
      <family val="2"/>
    </font>
    <font>
      <sz val="8"/>
      <name val="MS Sans Serif"/>
      <family val="2"/>
    </font>
    <font>
      <sz val="12"/>
      <name val="MS Sans Serif"/>
      <family val="2"/>
    </font>
    <font>
      <sz val="7.5"/>
      <name val="MS Sans Serif"/>
      <family val="2"/>
    </font>
    <font>
      <sz val="10"/>
      <name val="Arial"/>
      <family val="2"/>
    </font>
    <font>
      <b/>
      <sz val="12"/>
      <name val="MS Sans Serif"/>
      <family val="2"/>
    </font>
    <font>
      <b/>
      <sz val="8.5"/>
      <color indexed="10"/>
      <name val="MS Sans Serif"/>
      <family val="2"/>
    </font>
    <font>
      <sz val="8.5"/>
      <color indexed="10"/>
      <name val="MS Sans Serif"/>
      <family val="2"/>
    </font>
    <font>
      <sz val="10"/>
      <color indexed="10"/>
      <name val="MS Sans Serif"/>
      <family val="2"/>
    </font>
    <font>
      <sz val="8.5"/>
      <color indexed="12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1F497D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2" fillId="0" borderId="0" applyFont="0" applyFill="0" applyBorder="0" applyAlignment="0" applyProtection="0"/>
    <xf numFmtId="0" fontId="18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12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3" fontId="3" fillId="0" borderId="0" xfId="0" applyNumberFormat="1" applyFont="1" applyBorder="1"/>
    <xf numFmtId="2" fontId="3" fillId="0" borderId="0" xfId="0" applyNumberFormat="1" applyFont="1" applyBorder="1"/>
    <xf numFmtId="3" fontId="4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0" xfId="0" applyFont="1"/>
    <xf numFmtId="0" fontId="5" fillId="0" borderId="0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3" fontId="5" fillId="0" borderId="0" xfId="0" applyNumberFormat="1" applyFont="1" applyBorder="1"/>
    <xf numFmtId="0" fontId="5" fillId="0" borderId="10" xfId="0" applyFont="1" applyBorder="1"/>
    <xf numFmtId="166" fontId="3" fillId="0" borderId="0" xfId="3" applyNumberFormat="1" applyFont="1" applyBorder="1"/>
    <xf numFmtId="0" fontId="3" fillId="2" borderId="0" xfId="0" applyFont="1" applyFill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0" xfId="0" applyBorder="1"/>
    <xf numFmtId="0" fontId="0" fillId="0" borderId="0" xfId="0" applyBorder="1"/>
    <xf numFmtId="0" fontId="3" fillId="3" borderId="0" xfId="0" applyFont="1" applyFill="1" applyBorder="1"/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0" fillId="0" borderId="6" xfId="0" applyFill="1" applyBorder="1"/>
    <xf numFmtId="0" fontId="7" fillId="0" borderId="2" xfId="0" applyFont="1" applyBorder="1"/>
    <xf numFmtId="0" fontId="3" fillId="0" borderId="0" xfId="0" applyFont="1" applyFill="1" applyBorder="1"/>
    <xf numFmtId="3" fontId="3" fillId="0" borderId="1" xfId="0" applyNumberFormat="1" applyFont="1" applyBorder="1"/>
    <xf numFmtId="166" fontId="3" fillId="0" borderId="3" xfId="3" applyNumberFormat="1" applyFont="1" applyBorder="1"/>
    <xf numFmtId="164" fontId="3" fillId="0" borderId="12" xfId="3" applyFont="1" applyBorder="1"/>
    <xf numFmtId="0" fontId="5" fillId="0" borderId="0" xfId="0" applyFont="1" applyFill="1" applyBorder="1"/>
    <xf numFmtId="166" fontId="5" fillId="0" borderId="6" xfId="3" applyNumberFormat="1" applyFont="1" applyFill="1" applyBorder="1"/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2" xfId="0" applyFont="1" applyBorder="1"/>
    <xf numFmtId="0" fontId="9" fillId="0" borderId="13" xfId="0" applyFont="1" applyBorder="1"/>
    <xf numFmtId="3" fontId="9" fillId="0" borderId="2" xfId="0" applyNumberFormat="1" applyFont="1" applyBorder="1"/>
    <xf numFmtId="0" fontId="9" fillId="0" borderId="0" xfId="0" applyFont="1" applyBorder="1"/>
    <xf numFmtId="0" fontId="9" fillId="2" borderId="2" xfId="0" applyFont="1" applyFill="1" applyBorder="1"/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7" xfId="0" applyFont="1" applyBorder="1"/>
    <xf numFmtId="3" fontId="9" fillId="0" borderId="16" xfId="0" applyNumberFormat="1" applyFont="1" applyBorder="1"/>
    <xf numFmtId="0" fontId="9" fillId="2" borderId="0" xfId="0" applyFont="1" applyFill="1" applyBorder="1"/>
    <xf numFmtId="0" fontId="0" fillId="0" borderId="0" xfId="0" applyAlignment="1">
      <alignment horizontal="center"/>
    </xf>
    <xf numFmtId="3" fontId="3" fillId="0" borderId="0" xfId="1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0" xfId="1" applyNumberFormat="1" applyFont="1" applyBorder="1"/>
    <xf numFmtId="3" fontId="3" fillId="0" borderId="18" xfId="1" applyNumberFormat="1" applyFont="1" applyBorder="1"/>
    <xf numFmtId="3" fontId="3" fillId="0" borderId="0" xfId="1" applyNumberFormat="1" applyFont="1" applyBorder="1" applyAlignment="1"/>
    <xf numFmtId="3" fontId="3" fillId="0" borderId="6" xfId="1" applyNumberFormat="1" applyFont="1" applyFill="1" applyBorder="1"/>
    <xf numFmtId="166" fontId="3" fillId="0" borderId="19" xfId="3" applyNumberFormat="1" applyFont="1" applyBorder="1"/>
    <xf numFmtId="0" fontId="3" fillId="0" borderId="3" xfId="0" applyFont="1" applyFill="1" applyBorder="1" applyAlignment="1">
      <alignment horizontal="left"/>
    </xf>
    <xf numFmtId="0" fontId="5" fillId="0" borderId="10" xfId="0" applyFont="1" applyFill="1" applyBorder="1"/>
    <xf numFmtId="0" fontId="3" fillId="0" borderId="2" xfId="0" applyFont="1" applyFill="1" applyBorder="1"/>
    <xf numFmtId="0" fontId="0" fillId="0" borderId="0" xfId="0" applyFill="1" applyBorder="1"/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66" fontId="3" fillId="0" borderId="0" xfId="3" applyNumberFormat="1" applyFont="1" applyBorder="1" applyAlignment="1">
      <alignment horizontal="left"/>
    </xf>
    <xf numFmtId="166" fontId="5" fillId="0" borderId="6" xfId="3" applyNumberFormat="1" applyFont="1" applyFill="1" applyBorder="1" applyAlignment="1">
      <alignment horizontal="left"/>
    </xf>
    <xf numFmtId="3" fontId="5" fillId="0" borderId="10" xfId="1" applyNumberFormat="1" applyFont="1" applyBorder="1" applyAlignment="1"/>
    <xf numFmtId="3" fontId="5" fillId="0" borderId="6" xfId="1" applyNumberFormat="1" applyFont="1" applyFill="1" applyBorder="1"/>
    <xf numFmtId="3" fontId="5" fillId="0" borderId="14" xfId="1" applyNumberFormat="1" applyFont="1" applyFill="1" applyBorder="1"/>
    <xf numFmtId="0" fontId="3" fillId="0" borderId="10" xfId="0" applyFont="1" applyBorder="1"/>
    <xf numFmtId="164" fontId="3" fillId="0" borderId="20" xfId="3" applyFont="1" applyBorder="1"/>
    <xf numFmtId="3" fontId="3" fillId="0" borderId="6" xfId="0" applyNumberFormat="1" applyFont="1" applyFill="1" applyBorder="1"/>
    <xf numFmtId="3" fontId="9" fillId="0" borderId="16" xfId="1" applyNumberFormat="1" applyFont="1" applyBorder="1" applyAlignment="1">
      <alignment horizontal="right"/>
    </xf>
    <xf numFmtId="3" fontId="9" fillId="0" borderId="2" xfId="1" applyNumberFormat="1" applyFont="1" applyBorder="1" applyAlignment="1">
      <alignment horizontal="left"/>
    </xf>
    <xf numFmtId="3" fontId="9" fillId="0" borderId="2" xfId="0" applyNumberFormat="1" applyFont="1" applyFill="1" applyBorder="1"/>
    <xf numFmtId="3" fontId="9" fillId="0" borderId="16" xfId="0" applyNumberFormat="1" applyFont="1" applyFill="1" applyBorder="1"/>
    <xf numFmtId="166" fontId="3" fillId="0" borderId="0" xfId="3" applyNumberFormat="1" applyFont="1" applyFill="1" applyBorder="1"/>
    <xf numFmtId="0" fontId="0" fillId="0" borderId="0" xfId="0" applyFill="1"/>
    <xf numFmtId="3" fontId="5" fillId="0" borderId="0" xfId="0" applyNumberFormat="1" applyFont="1" applyFill="1" applyBorder="1" applyAlignment="1"/>
    <xf numFmtId="3" fontId="5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1" fontId="14" fillId="0" borderId="0" xfId="0" applyNumberFormat="1" applyFont="1" applyBorder="1"/>
    <xf numFmtId="3" fontId="9" fillId="0" borderId="0" xfId="0" applyNumberFormat="1" applyFont="1" applyBorder="1"/>
    <xf numFmtId="0" fontId="7" fillId="0" borderId="0" xfId="0" applyFont="1" applyBorder="1"/>
    <xf numFmtId="0" fontId="0" fillId="4" borderId="0" xfId="0" applyFill="1"/>
    <xf numFmtId="0" fontId="7" fillId="5" borderId="0" xfId="0" applyFont="1" applyFill="1"/>
    <xf numFmtId="0" fontId="7" fillId="2" borderId="0" xfId="0" applyFont="1" applyFill="1"/>
    <xf numFmtId="0" fontId="7" fillId="4" borderId="0" xfId="0" applyFont="1" applyFill="1"/>
    <xf numFmtId="0" fontId="16" fillId="0" borderId="0" xfId="0" applyFont="1"/>
    <xf numFmtId="3" fontId="7" fillId="0" borderId="0" xfId="1" applyNumberFormat="1" applyFont="1"/>
    <xf numFmtId="3" fontId="7" fillId="0" borderId="2" xfId="1" applyNumberFormat="1" applyFont="1" applyBorder="1"/>
    <xf numFmtId="0" fontId="7" fillId="2" borderId="2" xfId="0" applyFont="1" applyFill="1" applyBorder="1"/>
    <xf numFmtId="3" fontId="7" fillId="0" borderId="0" xfId="1" applyNumberFormat="1" applyFont="1" applyBorder="1"/>
    <xf numFmtId="3" fontId="7" fillId="2" borderId="0" xfId="1" applyNumberFormat="1" applyFont="1" applyFill="1"/>
    <xf numFmtId="3" fontId="7" fillId="2" borderId="2" xfId="1" applyNumberFormat="1" applyFont="1" applyFill="1" applyBorder="1"/>
    <xf numFmtId="3" fontId="16" fillId="0" borderId="0" xfId="1" applyNumberFormat="1" applyFont="1"/>
    <xf numFmtId="3" fontId="7" fillId="2" borderId="0" xfId="1" applyNumberFormat="1" applyFont="1" applyFill="1" applyBorder="1"/>
    <xf numFmtId="3" fontId="7" fillId="0" borderId="0" xfId="0" applyNumberFormat="1" applyFont="1"/>
    <xf numFmtId="0" fontId="17" fillId="0" borderId="0" xfId="0" applyFont="1" applyFill="1" applyBorder="1"/>
    <xf numFmtId="0" fontId="17" fillId="0" borderId="0" xfId="0" applyFont="1"/>
    <xf numFmtId="3" fontId="17" fillId="0" borderId="0" xfId="1" applyNumberFormat="1" applyFont="1" applyFill="1" applyBorder="1"/>
    <xf numFmtId="0" fontId="17" fillId="2" borderId="0" xfId="0" applyFont="1" applyFill="1"/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164" fontId="3" fillId="0" borderId="16" xfId="3" applyFont="1" applyBorder="1"/>
    <xf numFmtId="164" fontId="5" fillId="0" borderId="10" xfId="3" applyFont="1" applyBorder="1"/>
    <xf numFmtId="0" fontId="0" fillId="0" borderId="21" xfId="0" applyBorder="1"/>
    <xf numFmtId="0" fontId="0" fillId="4" borderId="10" xfId="0" applyFill="1" applyBorder="1"/>
    <xf numFmtId="0" fontId="0" fillId="0" borderId="22" xfId="0" applyBorder="1"/>
    <xf numFmtId="0" fontId="0" fillId="0" borderId="10" xfId="0" applyFill="1" applyBorder="1"/>
    <xf numFmtId="0" fontId="0" fillId="0" borderId="22" xfId="0" applyFill="1" applyBorder="1"/>
    <xf numFmtId="0" fontId="7" fillId="5" borderId="23" xfId="0" applyFont="1" applyFill="1" applyBorder="1"/>
    <xf numFmtId="0" fontId="7" fillId="5" borderId="23" xfId="0" quotePrefix="1" applyFont="1" applyFill="1" applyBorder="1"/>
    <xf numFmtId="0" fontId="7" fillId="0" borderId="23" xfId="0" applyFont="1" applyBorder="1"/>
    <xf numFmtId="0" fontId="7" fillId="0" borderId="24" xfId="0" applyFont="1" applyBorder="1"/>
    <xf numFmtId="3" fontId="7" fillId="0" borderId="23" xfId="1" applyNumberFormat="1" applyFont="1" applyBorder="1"/>
    <xf numFmtId="0" fontId="0" fillId="0" borderId="23" xfId="0" applyBorder="1"/>
    <xf numFmtId="0" fontId="7" fillId="4" borderId="23" xfId="0" applyFont="1" applyFill="1" applyBorder="1"/>
    <xf numFmtId="0" fontId="17" fillId="0" borderId="23" xfId="0" applyFont="1" applyBorder="1"/>
    <xf numFmtId="0" fontId="7" fillId="4" borderId="23" xfId="0" quotePrefix="1" applyFont="1" applyFill="1" applyBorder="1"/>
    <xf numFmtId="0" fontId="0" fillId="0" borderId="5" xfId="0" applyFill="1" applyBorder="1"/>
    <xf numFmtId="0" fontId="0" fillId="0" borderId="25" xfId="0" applyFill="1" applyBorder="1"/>
    <xf numFmtId="0" fontId="7" fillId="4" borderId="0" xfId="0" applyFont="1" applyFill="1" applyAlignment="1">
      <alignment wrapText="1"/>
    </xf>
    <xf numFmtId="0" fontId="0" fillId="0" borderId="5" xfId="0" applyFill="1" applyBorder="1" applyAlignment="1">
      <alignment horizontal="left"/>
    </xf>
    <xf numFmtId="0" fontId="0" fillId="0" borderId="26" xfId="0" applyFill="1" applyBorder="1"/>
    <xf numFmtId="0" fontId="7" fillId="4" borderId="23" xfId="0" applyFont="1" applyFill="1" applyBorder="1" applyAlignment="1">
      <alignment wrapText="1"/>
    </xf>
    <xf numFmtId="0" fontId="0" fillId="0" borderId="23" xfId="0" applyFill="1" applyBorder="1"/>
    <xf numFmtId="0" fontId="0" fillId="0" borderId="27" xfId="0" applyFill="1" applyBorder="1"/>
    <xf numFmtId="0" fontId="7" fillId="4" borderId="0" xfId="0" applyFont="1" applyFill="1" applyBorder="1" applyAlignment="1">
      <alignment wrapText="1"/>
    </xf>
    <xf numFmtId="0" fontId="0" fillId="0" borderId="5" xfId="0" applyBorder="1"/>
    <xf numFmtId="0" fontId="0" fillId="0" borderId="25" xfId="0" applyBorder="1"/>
    <xf numFmtId="0" fontId="0" fillId="4" borderId="0" xfId="0" applyFill="1" applyBorder="1" applyAlignment="1">
      <alignment wrapText="1"/>
    </xf>
    <xf numFmtId="0" fontId="0" fillId="0" borderId="28" xfId="0" applyFill="1" applyBorder="1"/>
    <xf numFmtId="0" fontId="0" fillId="4" borderId="29" xfId="0" applyFill="1" applyBorder="1" applyAlignment="1">
      <alignment wrapText="1"/>
    </xf>
    <xf numFmtId="0" fontId="0" fillId="0" borderId="4" xfId="0" applyFill="1" applyBorder="1"/>
    <xf numFmtId="0" fontId="0" fillId="4" borderId="3" xfId="0" applyFill="1" applyBorder="1" applyAlignment="1">
      <alignment wrapText="1"/>
    </xf>
    <xf numFmtId="0" fontId="0" fillId="0" borderId="7" xfId="0" applyBorder="1"/>
    <xf numFmtId="0" fontId="0" fillId="0" borderId="8" xfId="0" applyFill="1" applyBorder="1" applyAlignment="1">
      <alignment horizontal="left"/>
    </xf>
    <xf numFmtId="0" fontId="0" fillId="0" borderId="8" xfId="0" applyFill="1" applyBorder="1"/>
    <xf numFmtId="0" fontId="0" fillId="0" borderId="30" xfId="0" applyBorder="1"/>
    <xf numFmtId="0" fontId="7" fillId="4" borderId="9" xfId="0" applyFont="1" applyFill="1" applyBorder="1" applyAlignment="1">
      <alignment wrapText="1"/>
    </xf>
    <xf numFmtId="0" fontId="0" fillId="4" borderId="31" xfId="0" applyFill="1" applyBorder="1" applyAlignment="1">
      <alignment wrapText="1"/>
    </xf>
    <xf numFmtId="0" fontId="0" fillId="0" borderId="32" xfId="0" applyFill="1" applyBorder="1"/>
    <xf numFmtId="3" fontId="0" fillId="0" borderId="31" xfId="1" applyNumberFormat="1" applyFont="1" applyBorder="1"/>
    <xf numFmtId="3" fontId="0" fillId="0" borderId="0" xfId="0" applyNumberFormat="1"/>
    <xf numFmtId="3" fontId="0" fillId="0" borderId="3" xfId="1" applyNumberFormat="1" applyFont="1" applyFill="1" applyBorder="1"/>
    <xf numFmtId="3" fontId="0" fillId="0" borderId="33" xfId="1" applyNumberFormat="1" applyFont="1" applyFill="1" applyBorder="1"/>
    <xf numFmtId="3" fontId="0" fillId="0" borderId="29" xfId="1" applyNumberFormat="1" applyFont="1" applyFill="1" applyBorder="1"/>
    <xf numFmtId="3" fontId="0" fillId="0" borderId="34" xfId="1" applyNumberFormat="1" applyFont="1" applyFill="1" applyBorder="1"/>
    <xf numFmtId="0" fontId="10" fillId="5" borderId="0" xfId="0" applyFont="1" applyFill="1"/>
    <xf numFmtId="0" fontId="10" fillId="4" borderId="0" xfId="0" applyFont="1" applyFill="1"/>
    <xf numFmtId="49" fontId="9" fillId="0" borderId="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0" fillId="0" borderId="24" xfId="0" applyFill="1" applyBorder="1"/>
    <xf numFmtId="0" fontId="0" fillId="0" borderId="35" xfId="0" applyFill="1" applyBorder="1"/>
    <xf numFmtId="3" fontId="0" fillId="0" borderId="36" xfId="1" applyNumberFormat="1" applyFont="1" applyBorder="1"/>
    <xf numFmtId="3" fontId="5" fillId="0" borderId="8" xfId="1" applyNumberFormat="1" applyFont="1" applyBorder="1"/>
    <xf numFmtId="3" fontId="5" fillId="0" borderId="37" xfId="1" applyNumberFormat="1" applyFont="1" applyBorder="1"/>
    <xf numFmtId="3" fontId="5" fillId="0" borderId="0" xfId="1" applyNumberFormat="1" applyFont="1" applyBorder="1"/>
    <xf numFmtId="3" fontId="3" fillId="0" borderId="12" xfId="1" applyNumberFormat="1" applyFont="1" applyBorder="1"/>
    <xf numFmtId="3" fontId="5" fillId="0" borderId="12" xfId="1" applyNumberFormat="1" applyFont="1" applyBorder="1"/>
    <xf numFmtId="3" fontId="5" fillId="0" borderId="10" xfId="1" applyNumberFormat="1" applyFont="1" applyBorder="1"/>
    <xf numFmtId="3" fontId="3" fillId="0" borderId="2" xfId="1" applyNumberFormat="1" applyFont="1" applyBorder="1"/>
    <xf numFmtId="3" fontId="5" fillId="0" borderId="39" xfId="1" applyNumberFormat="1" applyFont="1" applyBorder="1"/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2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10" fillId="5" borderId="0" xfId="0" applyFont="1" applyFill="1" applyAlignment="1">
      <alignment wrapText="1"/>
    </xf>
    <xf numFmtId="0" fontId="0" fillId="5" borderId="0" xfId="0" applyFill="1"/>
    <xf numFmtId="0" fontId="0" fillId="4" borderId="0" xfId="0" applyFill="1" applyBorder="1"/>
    <xf numFmtId="0" fontId="0" fillId="4" borderId="23" xfId="0" applyFill="1" applyBorder="1"/>
    <xf numFmtId="3" fontId="0" fillId="4" borderId="29" xfId="1" applyNumberFormat="1" applyFont="1" applyFill="1" applyBorder="1"/>
    <xf numFmtId="3" fontId="0" fillId="4" borderId="3" xfId="1" applyNumberFormat="1" applyFont="1" applyFill="1" applyBorder="1"/>
    <xf numFmtId="0" fontId="0" fillId="4" borderId="22" xfId="0" applyFill="1" applyBorder="1"/>
    <xf numFmtId="0" fontId="0" fillId="4" borderId="25" xfId="0" applyFill="1" applyBorder="1"/>
    <xf numFmtId="0" fontId="0" fillId="4" borderId="27" xfId="0" applyFill="1" applyBorder="1"/>
    <xf numFmtId="3" fontId="0" fillId="4" borderId="34" xfId="1" applyNumberFormat="1" applyFont="1" applyFill="1" applyBorder="1"/>
    <xf numFmtId="3" fontId="0" fillId="4" borderId="33" xfId="1" applyNumberFormat="1" applyFont="1" applyFill="1" applyBorder="1"/>
    <xf numFmtId="0" fontId="0" fillId="4" borderId="9" xfId="0" applyFill="1" applyBorder="1"/>
    <xf numFmtId="0" fontId="0" fillId="4" borderId="40" xfId="0" applyFill="1" applyBorder="1"/>
    <xf numFmtId="0" fontId="0" fillId="4" borderId="41" xfId="0" applyFill="1" applyBorder="1"/>
    <xf numFmtId="0" fontId="18" fillId="0" borderId="42" xfId="2" applyNumberFormat="1" applyBorder="1"/>
    <xf numFmtId="1" fontId="3" fillId="0" borderId="16" xfId="0" applyNumberFormat="1" applyFont="1" applyBorder="1" applyAlignment="1">
      <alignment horizontal="center"/>
    </xf>
    <xf numFmtId="3" fontId="0" fillId="0" borderId="0" xfId="1" applyNumberFormat="1" applyFont="1"/>
    <xf numFmtId="0" fontId="0" fillId="0" borderId="41" xfId="0" applyFill="1" applyBorder="1"/>
    <xf numFmtId="0" fontId="0" fillId="0" borderId="43" xfId="0" applyFill="1" applyBorder="1"/>
    <xf numFmtId="3" fontId="0" fillId="0" borderId="28" xfId="1" applyNumberFormat="1" applyFont="1" applyBorder="1"/>
    <xf numFmtId="3" fontId="0" fillId="4" borderId="29" xfId="1" applyNumberFormat="1" applyFont="1" applyFill="1" applyBorder="1" applyAlignment="1">
      <alignment wrapText="1"/>
    </xf>
    <xf numFmtId="3" fontId="0" fillId="0" borderId="29" xfId="1" applyNumberFormat="1" applyFont="1" applyFill="1" applyBorder="1" applyAlignment="1">
      <alignment wrapText="1"/>
    </xf>
    <xf numFmtId="3" fontId="0" fillId="0" borderId="29" xfId="1" applyNumberFormat="1" applyFont="1" applyBorder="1"/>
    <xf numFmtId="3" fontId="0" fillId="0" borderId="34" xfId="1" applyNumberFormat="1" applyFont="1" applyBorder="1"/>
    <xf numFmtId="3" fontId="0" fillId="5" borderId="0" xfId="1" applyNumberFormat="1" applyFont="1" applyFill="1"/>
    <xf numFmtId="0" fontId="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Fill="1"/>
    <xf numFmtId="1" fontId="5" fillId="0" borderId="10" xfId="0" applyNumberFormat="1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/>
    <xf numFmtId="49" fontId="0" fillId="0" borderId="0" xfId="0" applyNumberFormat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/>
    <xf numFmtId="0" fontId="21" fillId="0" borderId="0" xfId="0" applyFont="1" applyFill="1" applyBorder="1" applyAlignment="1">
      <alignment horizontal="left"/>
    </xf>
    <xf numFmtId="0" fontId="21" fillId="0" borderId="0" xfId="0" applyFont="1" applyBorder="1"/>
    <xf numFmtId="0" fontId="21" fillId="2" borderId="0" xfId="0" applyFont="1" applyFill="1" applyBorder="1"/>
    <xf numFmtId="2" fontId="21" fillId="0" borderId="0" xfId="0" applyNumberFormat="1" applyFont="1" applyBorder="1"/>
    <xf numFmtId="166" fontId="21" fillId="0" borderId="0" xfId="3" applyNumberFormat="1" applyFont="1" applyFill="1" applyBorder="1"/>
    <xf numFmtId="0" fontId="22" fillId="0" borderId="0" xfId="0" applyFont="1"/>
    <xf numFmtId="166" fontId="21" fillId="0" borderId="0" xfId="3" applyNumberFormat="1" applyFont="1" applyBorder="1"/>
    <xf numFmtId="166" fontId="21" fillId="0" borderId="6" xfId="3" applyNumberFormat="1" applyFont="1" applyFill="1" applyBorder="1"/>
    <xf numFmtId="0" fontId="21" fillId="0" borderId="0" xfId="0" applyFont="1" applyFill="1" applyBorder="1"/>
    <xf numFmtId="0" fontId="3" fillId="0" borderId="0" xfId="0" quotePrefix="1" applyFont="1" applyFill="1" applyBorder="1" applyAlignment="1">
      <alignment horizontal="center"/>
    </xf>
    <xf numFmtId="1" fontId="3" fillId="0" borderId="10" xfId="0" applyNumberFormat="1" applyFont="1" applyFill="1" applyBorder="1"/>
    <xf numFmtId="0" fontId="23" fillId="0" borderId="0" xfId="0" applyFont="1" applyBorder="1" applyAlignment="1">
      <alignment horizontal="center"/>
    </xf>
    <xf numFmtId="0" fontId="0" fillId="0" borderId="9" xfId="0" applyFill="1" applyBorder="1"/>
    <xf numFmtId="0" fontId="0" fillId="0" borderId="40" xfId="0" applyFill="1" applyBorder="1"/>
    <xf numFmtId="0" fontId="9" fillId="0" borderId="0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6" xfId="0" applyFont="1" applyBorder="1"/>
    <xf numFmtId="1" fontId="5" fillId="0" borderId="14" xfId="0" applyNumberFormat="1" applyFont="1" applyFill="1" applyBorder="1"/>
    <xf numFmtId="3" fontId="3" fillId="0" borderId="6" xfId="0" applyNumberFormat="1" applyFont="1" applyBorder="1"/>
    <xf numFmtId="3" fontId="3" fillId="0" borderId="6" xfId="1" applyNumberFormat="1" applyFont="1" applyBorder="1" applyAlignment="1">
      <alignment horizontal="right"/>
    </xf>
    <xf numFmtId="164" fontId="5" fillId="0" borderId="10" xfId="3" applyNumberFormat="1" applyFont="1" applyBorder="1"/>
    <xf numFmtId="0" fontId="7" fillId="6" borderId="0" xfId="0" applyFont="1" applyFill="1"/>
    <xf numFmtId="0" fontId="7" fillId="6" borderId="23" xfId="0" applyFont="1" applyFill="1" applyBorder="1"/>
    <xf numFmtId="0" fontId="10" fillId="6" borderId="0" xfId="0" applyFont="1" applyFill="1"/>
    <xf numFmtId="3" fontId="7" fillId="0" borderId="1" xfId="1" applyNumberFormat="1" applyFont="1" applyBorder="1"/>
    <xf numFmtId="0" fontId="19" fillId="0" borderId="0" xfId="0" applyFont="1" applyFill="1" applyBorder="1" applyAlignment="1">
      <alignment horizontal="left"/>
    </xf>
    <xf numFmtId="164" fontId="5" fillId="0" borderId="46" xfId="3" applyFont="1" applyBorder="1"/>
    <xf numFmtId="49" fontId="24" fillId="0" borderId="47" xfId="0" applyNumberFormat="1" applyFont="1" applyFill="1" applyBorder="1" applyAlignment="1" applyProtection="1">
      <alignment horizontal="left"/>
      <protection locked="0"/>
    </xf>
    <xf numFmtId="167" fontId="24" fillId="0" borderId="47" xfId="1" applyNumberFormat="1" applyFont="1" applyFill="1" applyBorder="1" applyAlignment="1">
      <alignment horizontal="center"/>
    </xf>
    <xf numFmtId="0" fontId="24" fillId="0" borderId="47" xfId="0" applyFont="1" applyFill="1" applyBorder="1" applyAlignment="1">
      <alignment horizontal="center"/>
    </xf>
    <xf numFmtId="49" fontId="24" fillId="0" borderId="47" xfId="0" applyNumberFormat="1" applyFont="1" applyFill="1" applyBorder="1" applyAlignment="1" applyProtection="1">
      <alignment horizontal="center"/>
      <protection locked="0"/>
    </xf>
    <xf numFmtId="167" fontId="24" fillId="0" borderId="47" xfId="1" applyNumberFormat="1" applyFont="1" applyFill="1" applyBorder="1"/>
    <xf numFmtId="0" fontId="25" fillId="0" borderId="0" xfId="0" applyFont="1" applyAlignment="1">
      <alignment horizontal="center"/>
    </xf>
    <xf numFmtId="0" fontId="24" fillId="0" borderId="47" xfId="0" quotePrefix="1" applyFont="1" applyFill="1" applyBorder="1" applyAlignment="1">
      <alignment horizontal="center"/>
    </xf>
    <xf numFmtId="0" fontId="3" fillId="0" borderId="47" xfId="0" applyFont="1" applyBorder="1"/>
    <xf numFmtId="0" fontId="3" fillId="0" borderId="47" xfId="0" applyFont="1" applyFill="1" applyBorder="1"/>
    <xf numFmtId="1" fontId="5" fillId="0" borderId="47" xfId="0" applyNumberFormat="1" applyFont="1" applyFill="1" applyBorder="1"/>
    <xf numFmtId="3" fontId="3" fillId="0" borderId="47" xfId="0" applyNumberFormat="1" applyFont="1" applyBorder="1"/>
    <xf numFmtId="3" fontId="3" fillId="0" borderId="47" xfId="0" applyNumberFormat="1" applyFont="1" applyFill="1" applyBorder="1"/>
    <xf numFmtId="3" fontId="3" fillId="0" borderId="47" xfId="1" applyNumberFormat="1" applyFont="1" applyBorder="1" applyAlignment="1">
      <alignment horizontal="right"/>
    </xf>
    <xf numFmtId="0" fontId="5" fillId="0" borderId="47" xfId="0" applyFont="1" applyFill="1" applyBorder="1"/>
    <xf numFmtId="0" fontId="3" fillId="0" borderId="47" xfId="0" applyFont="1" applyBorder="1" applyAlignment="1">
      <alignment horizontal="center"/>
    </xf>
    <xf numFmtId="0" fontId="11" fillId="0" borderId="47" xfId="0" applyFont="1" applyFill="1" applyBorder="1"/>
    <xf numFmtId="0" fontId="3" fillId="0" borderId="47" xfId="0" applyFont="1" applyFill="1" applyBorder="1" applyAlignment="1">
      <alignment horizontal="center"/>
    </xf>
    <xf numFmtId="1" fontId="3" fillId="0" borderId="47" xfId="0" applyNumberFormat="1" applyFont="1" applyFill="1" applyBorder="1"/>
    <xf numFmtId="3" fontId="3" fillId="0" borderId="47" xfId="1" applyNumberFormat="1" applyFont="1" applyFill="1" applyBorder="1" applyAlignment="1">
      <alignment horizontal="right"/>
    </xf>
    <xf numFmtId="0" fontId="3" fillId="0" borderId="47" xfId="0" quotePrefix="1" applyFont="1" applyFill="1" applyBorder="1" applyAlignment="1">
      <alignment horizontal="center"/>
    </xf>
    <xf numFmtId="0" fontId="7" fillId="0" borderId="47" xfId="0" applyFont="1" applyBorder="1" applyAlignment="1" applyProtection="1">
      <alignment horizontal="center"/>
      <protection locked="0"/>
    </xf>
    <xf numFmtId="49" fontId="24" fillId="0" borderId="23" xfId="0" applyNumberFormat="1" applyFont="1" applyFill="1" applyBorder="1" applyAlignment="1" applyProtection="1">
      <alignment horizontal="left"/>
      <protection locked="0"/>
    </xf>
    <xf numFmtId="167" fontId="24" fillId="0" borderId="23" xfId="1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49" fontId="24" fillId="0" borderId="23" xfId="0" applyNumberFormat="1" applyFont="1" applyFill="1" applyBorder="1" applyAlignment="1" applyProtection="1">
      <alignment horizontal="center"/>
      <protection locked="0"/>
    </xf>
    <xf numFmtId="167" fontId="24" fillId="0" borderId="23" xfId="1" applyNumberFormat="1" applyFont="1" applyFill="1" applyBorder="1"/>
    <xf numFmtId="0" fontId="25" fillId="0" borderId="47" xfId="0" applyFont="1" applyBorder="1" applyAlignment="1" applyProtection="1">
      <alignment horizontal="center"/>
      <protection locked="0"/>
    </xf>
    <xf numFmtId="3" fontId="2" fillId="0" borderId="0" xfId="1" applyNumberFormat="1" applyFont="1"/>
    <xf numFmtId="0" fontId="2" fillId="0" borderId="0" xfId="0" applyFont="1"/>
    <xf numFmtId="0" fontId="0" fillId="5" borderId="21" xfId="0" applyFill="1" applyBorder="1" applyAlignment="1">
      <alignment wrapText="1"/>
    </xf>
    <xf numFmtId="0" fontId="0" fillId="5" borderId="5" xfId="0" applyFill="1" applyBorder="1"/>
    <xf numFmtId="0" fontId="0" fillId="5" borderId="48" xfId="0" applyFill="1" applyBorder="1"/>
    <xf numFmtId="1" fontId="0" fillId="0" borderId="10" xfId="1" applyNumberFormat="1" applyFont="1" applyFill="1" applyBorder="1"/>
    <xf numFmtId="3" fontId="0" fillId="0" borderId="22" xfId="1" applyNumberFormat="1" applyFont="1" applyFill="1" applyBorder="1"/>
    <xf numFmtId="0" fontId="0" fillId="0" borderId="3" xfId="0" applyFill="1" applyBorder="1"/>
    <xf numFmtId="0" fontId="0" fillId="0" borderId="33" xfId="0" applyFill="1" applyBorder="1"/>
    <xf numFmtId="0" fontId="0" fillId="0" borderId="21" xfId="0" applyFill="1" applyBorder="1"/>
    <xf numFmtId="0" fontId="0" fillId="4" borderId="1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0" xfId="1" applyNumberFormat="1" applyFont="1" applyFill="1" applyBorder="1"/>
    <xf numFmtId="0" fontId="7" fillId="4" borderId="10" xfId="0" applyFont="1" applyFill="1" applyBorder="1" applyAlignment="1">
      <alignment wrapText="1"/>
    </xf>
    <xf numFmtId="0" fontId="0" fillId="7" borderId="5" xfId="0" applyFill="1" applyBorder="1"/>
    <xf numFmtId="0" fontId="0" fillId="7" borderId="0" xfId="0" applyFill="1" applyBorder="1" applyAlignment="1">
      <alignment wrapText="1"/>
    </xf>
    <xf numFmtId="3" fontId="0" fillId="7" borderId="0" xfId="1" applyNumberFormat="1" applyFont="1" applyFill="1" applyBorder="1"/>
    <xf numFmtId="3" fontId="0" fillId="7" borderId="25" xfId="1" applyNumberFormat="1" applyFont="1" applyFill="1" applyBorder="1"/>
    <xf numFmtId="0" fontId="18" fillId="0" borderId="0" xfId="0" applyFont="1"/>
    <xf numFmtId="0" fontId="18" fillId="0" borderId="10" xfId="0" applyFont="1" applyBorder="1"/>
    <xf numFmtId="0" fontId="18" fillId="0" borderId="22" xfId="0" applyFont="1" applyBorder="1"/>
    <xf numFmtId="1" fontId="0" fillId="0" borderId="22" xfId="1" applyNumberFormat="1" applyFont="1" applyFill="1" applyBorder="1"/>
    <xf numFmtId="49" fontId="24" fillId="0" borderId="47" xfId="0" applyNumberFormat="1" applyFont="1" applyFill="1" applyBorder="1" applyAlignment="1" applyProtection="1">
      <alignment horizontal="left" wrapText="1"/>
      <protection locked="0"/>
    </xf>
    <xf numFmtId="167" fontId="24" fillId="0" borderId="49" xfId="1" applyNumberFormat="1" applyFont="1" applyFill="1" applyBorder="1" applyAlignment="1">
      <alignment horizontal="center"/>
    </xf>
    <xf numFmtId="3" fontId="1" fillId="0" borderId="0" xfId="1" applyNumberFormat="1" applyFont="1"/>
    <xf numFmtId="0" fontId="1" fillId="0" borderId="0" xfId="0" applyFont="1" applyFill="1" applyBorder="1"/>
    <xf numFmtId="0" fontId="1" fillId="0" borderId="0" xfId="0" applyFont="1" applyBorder="1"/>
    <xf numFmtId="0" fontId="1" fillId="0" borderId="25" xfId="0" applyFont="1" applyFill="1" applyBorder="1"/>
    <xf numFmtId="0" fontId="3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9" fillId="0" borderId="10" xfId="0" applyFont="1" applyBorder="1"/>
    <xf numFmtId="3" fontId="9" fillId="0" borderId="0" xfId="0" applyNumberFormat="1" applyFont="1" applyFill="1" applyBorder="1"/>
    <xf numFmtId="3" fontId="9" fillId="0" borderId="0" xfId="1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7" fillId="0" borderId="0" xfId="0" applyFont="1" applyFill="1"/>
    <xf numFmtId="0" fontId="2" fillId="5" borderId="0" xfId="0" applyFont="1" applyFill="1"/>
    <xf numFmtId="3" fontId="2" fillId="0" borderId="0" xfId="1" applyNumberFormat="1" applyFont="1" applyFill="1"/>
    <xf numFmtId="0" fontId="2" fillId="0" borderId="0" xfId="0" applyFont="1" applyFill="1"/>
    <xf numFmtId="3" fontId="2" fillId="0" borderId="2" xfId="1" applyNumberFormat="1" applyFont="1" applyFill="1" applyBorder="1"/>
    <xf numFmtId="3" fontId="2" fillId="0" borderId="0" xfId="1" applyNumberFormat="1" applyFont="1" applyFill="1" applyBorder="1"/>
    <xf numFmtId="0" fontId="2" fillId="4" borderId="0" xfId="0" applyFont="1" applyFill="1"/>
    <xf numFmtId="1" fontId="2" fillId="0" borderId="0" xfId="0" applyNumberFormat="1" applyFont="1" applyFill="1"/>
    <xf numFmtId="3" fontId="2" fillId="0" borderId="2" xfId="1" applyNumberFormat="1" applyFont="1" applyBorder="1"/>
    <xf numFmtId="3" fontId="2" fillId="0" borderId="0" xfId="1" applyNumberFormat="1" applyFont="1" applyBorder="1"/>
    <xf numFmtId="1" fontId="2" fillId="0" borderId="0" xfId="0" applyNumberFormat="1" applyFont="1"/>
    <xf numFmtId="0" fontId="3" fillId="0" borderId="47" xfId="0" applyFont="1" applyBorder="1" applyAlignment="1">
      <alignment horizontal="left"/>
    </xf>
    <xf numFmtId="0" fontId="3" fillId="0" borderId="47" xfId="0" applyFont="1" applyFill="1" applyBorder="1" applyAlignment="1">
      <alignment horizontal="left"/>
    </xf>
    <xf numFmtId="49" fontId="3" fillId="0" borderId="47" xfId="0" applyNumberFormat="1" applyFont="1" applyFill="1" applyBorder="1" applyAlignment="1">
      <alignment horizontal="center"/>
    </xf>
    <xf numFmtId="1" fontId="3" fillId="0" borderId="47" xfId="0" applyNumberFormat="1" applyFont="1" applyFill="1" applyBorder="1" applyAlignment="1">
      <alignment horizontal="right"/>
    </xf>
    <xf numFmtId="0" fontId="3" fillId="0" borderId="50" xfId="0" applyFont="1" applyBorder="1"/>
    <xf numFmtId="3" fontId="3" fillId="0" borderId="50" xfId="0" applyNumberFormat="1" applyFont="1" applyFill="1" applyBorder="1"/>
    <xf numFmtId="0" fontId="5" fillId="0" borderId="50" xfId="0" applyFont="1" applyFill="1" applyBorder="1"/>
    <xf numFmtId="1" fontId="5" fillId="0" borderId="51" xfId="0" applyNumberFormat="1" applyFont="1" applyFill="1" applyBorder="1"/>
    <xf numFmtId="3" fontId="3" fillId="0" borderId="51" xfId="0" applyNumberFormat="1" applyFont="1" applyBorder="1"/>
    <xf numFmtId="3" fontId="3" fillId="0" borderId="44" xfId="0" applyNumberFormat="1" applyFont="1" applyFill="1" applyBorder="1"/>
    <xf numFmtId="0" fontId="3" fillId="0" borderId="0" xfId="0" applyNumberFormat="1" applyFont="1" applyBorder="1" applyAlignment="1">
      <alignment horizontal="right"/>
    </xf>
    <xf numFmtId="3" fontId="5" fillId="0" borderId="52" xfId="1" applyNumberFormat="1" applyFont="1" applyBorder="1"/>
    <xf numFmtId="3" fontId="5" fillId="0" borderId="53" xfId="1" applyNumberFormat="1" applyFont="1" applyBorder="1"/>
    <xf numFmtId="3" fontId="5" fillId="0" borderId="54" xfId="1" applyNumberFormat="1" applyFont="1" applyBorder="1"/>
    <xf numFmtId="0" fontId="0" fillId="0" borderId="0" xfId="0" quotePrefix="1"/>
    <xf numFmtId="0" fontId="2" fillId="5" borderId="23" xfId="0" quotePrefix="1" applyFont="1" applyFill="1" applyBorder="1"/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1" fontId="5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right"/>
    </xf>
    <xf numFmtId="0" fontId="1" fillId="0" borderId="0" xfId="0" applyFont="1" applyFill="1"/>
    <xf numFmtId="49" fontId="0" fillId="0" borderId="0" xfId="0" applyNumberFormat="1" applyFill="1" applyAlignment="1">
      <alignment horizontal="center"/>
    </xf>
    <xf numFmtId="0" fontId="9" fillId="0" borderId="0" xfId="0" applyFont="1" applyFill="1" applyBorder="1"/>
    <xf numFmtId="3" fontId="5" fillId="0" borderId="0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9" fillId="0" borderId="13" xfId="0" applyFont="1" applyFill="1" applyBorder="1"/>
    <xf numFmtId="3" fontId="9" fillId="0" borderId="2" xfId="1" applyNumberFormat="1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4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3" fontId="3" fillId="0" borderId="21" xfId="1" applyNumberFormat="1" applyFont="1" applyFill="1" applyBorder="1"/>
    <xf numFmtId="3" fontId="3" fillId="0" borderId="5" xfId="1" applyNumberFormat="1" applyFont="1" applyFill="1" applyBorder="1"/>
    <xf numFmtId="3" fontId="3" fillId="0" borderId="5" xfId="0" applyNumberFormat="1" applyFont="1" applyFill="1" applyBorder="1"/>
    <xf numFmtId="0" fontId="5" fillId="0" borderId="0" xfId="0" applyFont="1" applyFill="1"/>
    <xf numFmtId="0" fontId="21" fillId="0" borderId="0" xfId="0" applyFont="1" applyFill="1"/>
    <xf numFmtId="164" fontId="5" fillId="0" borderId="0" xfId="3" applyFont="1" applyFill="1" applyBorder="1"/>
    <xf numFmtId="164" fontId="3" fillId="0" borderId="0" xfId="3" applyFont="1" applyFill="1" applyBorder="1"/>
    <xf numFmtId="164" fontId="5" fillId="0" borderId="10" xfId="3" applyFont="1" applyFill="1" applyBorder="1"/>
    <xf numFmtId="166" fontId="3" fillId="0" borderId="0" xfId="3" applyNumberFormat="1" applyFont="1" applyFill="1" applyBorder="1" applyAlignment="1">
      <alignment horizontal="left"/>
    </xf>
    <xf numFmtId="0" fontId="29" fillId="0" borderId="0" xfId="0" applyNumberFormat="1" applyFont="1" applyAlignment="1">
      <alignment horizontal="center"/>
    </xf>
    <xf numFmtId="0" fontId="29" fillId="0" borderId="0" xfId="0" quotePrefix="1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3" fontId="18" fillId="0" borderId="0" xfId="0" applyNumberFormat="1" applyFont="1" applyBorder="1" applyAlignment="1"/>
    <xf numFmtId="3" fontId="18" fillId="0" borderId="0" xfId="0" applyNumberFormat="1" applyFont="1"/>
    <xf numFmtId="3" fontId="18" fillId="0" borderId="0" xfId="0" applyNumberFormat="1" applyFont="1" applyBorder="1"/>
    <xf numFmtId="3" fontId="18" fillId="0" borderId="0" xfId="0" applyNumberFormat="1" applyFont="1" applyFill="1" applyBorder="1" applyAlignment="1"/>
    <xf numFmtId="3" fontId="18" fillId="0" borderId="5" xfId="0" applyNumberFormat="1" applyFont="1" applyBorder="1" applyAlignme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18" fillId="0" borderId="4" xfId="0" applyNumberFormat="1" applyFont="1" applyBorder="1"/>
    <xf numFmtId="3" fontId="18" fillId="0" borderId="5" xfId="0" applyNumberFormat="1" applyFont="1" applyBorder="1"/>
    <xf numFmtId="0" fontId="3" fillId="0" borderId="5" xfId="0" applyFont="1" applyBorder="1"/>
    <xf numFmtId="3" fontId="18" fillId="0" borderId="3" xfId="0" applyNumberFormat="1" applyFont="1" applyBorder="1"/>
    <xf numFmtId="3" fontId="18" fillId="0" borderId="3" xfId="0" applyNumberFormat="1" applyFont="1" applyBorder="1" applyAlignment="1"/>
    <xf numFmtId="3" fontId="18" fillId="0" borderId="25" xfId="0" applyNumberFormat="1" applyFont="1" applyBorder="1"/>
    <xf numFmtId="3" fontId="27" fillId="0" borderId="0" xfId="0" applyNumberFormat="1" applyFont="1"/>
    <xf numFmtId="164" fontId="18" fillId="0" borderId="0" xfId="4" applyNumberFormat="1" applyFont="1"/>
    <xf numFmtId="166" fontId="18" fillId="0" borderId="0" xfId="4" applyNumberFormat="1" applyFont="1"/>
    <xf numFmtId="0" fontId="0" fillId="3" borderId="0" xfId="0" applyFill="1"/>
    <xf numFmtId="0" fontId="3" fillId="3" borderId="0" xfId="0" applyFont="1" applyFill="1"/>
    <xf numFmtId="0" fontId="2" fillId="6" borderId="23" xfId="0" quotePrefix="1" applyFont="1" applyFill="1" applyBorder="1"/>
    <xf numFmtId="3" fontId="30" fillId="0" borderId="0" xfId="0" applyNumberFormat="1" applyFont="1" applyBorder="1" applyAlignment="1"/>
    <xf numFmtId="0" fontId="2" fillId="8" borderId="0" xfId="0" applyFont="1" applyFill="1" applyBorder="1"/>
    <xf numFmtId="0" fontId="0" fillId="8" borderId="0" xfId="0" applyFill="1"/>
    <xf numFmtId="3" fontId="1" fillId="0" borderId="0" xfId="0" applyNumberFormat="1" applyFont="1"/>
    <xf numFmtId="0" fontId="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49" fontId="9" fillId="0" borderId="16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6" xfId="0" applyFont="1" applyFill="1" applyBorder="1"/>
    <xf numFmtId="0" fontId="9" fillId="0" borderId="17" xfId="0" applyFont="1" applyFill="1" applyBorder="1"/>
    <xf numFmtId="3" fontId="9" fillId="0" borderId="16" xfId="1" applyNumberFormat="1" applyFont="1" applyFill="1" applyBorder="1" applyAlignment="1">
      <alignment horizontal="right"/>
    </xf>
    <xf numFmtId="1" fontId="3" fillId="0" borderId="47" xfId="0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/>
    <xf numFmtId="0" fontId="3" fillId="0" borderId="19" xfId="0" applyFont="1" applyFill="1" applyBorder="1"/>
    <xf numFmtId="3" fontId="3" fillId="0" borderId="0" xfId="1" applyNumberFormat="1" applyFont="1" applyFill="1" applyBorder="1" applyAlignment="1">
      <alignment horizontal="right"/>
    </xf>
    <xf numFmtId="0" fontId="0" fillId="0" borderId="47" xfId="0" applyFont="1" applyFill="1" applyBorder="1" applyProtection="1">
      <protection locked="0"/>
    </xf>
    <xf numFmtId="1" fontId="9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left"/>
    </xf>
    <xf numFmtId="0" fontId="9" fillId="0" borderId="0" xfId="0" quotePrefix="1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Fill="1" applyBorder="1" applyAlignment="1" applyProtection="1">
      <alignment horizontal="center"/>
      <protection locked="0"/>
    </xf>
    <xf numFmtId="0" fontId="8" fillId="0" borderId="47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25" fillId="0" borderId="47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3" fillId="0" borderId="1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quotePrefix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5" fillId="0" borderId="6" xfId="0" applyFont="1" applyFill="1" applyBorder="1"/>
    <xf numFmtId="3" fontId="3" fillId="0" borderId="6" xfId="1" applyNumberFormat="1" applyFont="1" applyFill="1" applyBorder="1" applyAlignment="1">
      <alignment horizontal="right"/>
    </xf>
    <xf numFmtId="1" fontId="14" fillId="0" borderId="0" xfId="0" applyNumberFormat="1" applyFont="1" applyFill="1" applyBorder="1"/>
    <xf numFmtId="3" fontId="5" fillId="0" borderId="37" xfId="1" applyNumberFormat="1" applyFont="1" applyFill="1" applyBorder="1"/>
    <xf numFmtId="3" fontId="4" fillId="0" borderId="0" xfId="0" applyNumberFormat="1" applyFont="1" applyFill="1" applyBorder="1"/>
    <xf numFmtId="2" fontId="3" fillId="0" borderId="0" xfId="0" applyNumberFormat="1" applyFont="1" applyFill="1" applyBorder="1"/>
    <xf numFmtId="2" fontId="21" fillId="0" borderId="0" xfId="0" applyNumberFormat="1" applyFont="1" applyFill="1" applyBorder="1"/>
    <xf numFmtId="3" fontId="3" fillId="0" borderId="1" xfId="0" applyNumberFormat="1" applyFont="1" applyFill="1" applyBorder="1"/>
    <xf numFmtId="3" fontId="3" fillId="0" borderId="18" xfId="1" applyNumberFormat="1" applyFont="1" applyFill="1" applyBorder="1"/>
    <xf numFmtId="2" fontId="3" fillId="0" borderId="0" xfId="0" applyNumberFormat="1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5" fillId="0" borderId="8" xfId="1" applyNumberFormat="1" applyFont="1" applyFill="1" applyBorder="1"/>
    <xf numFmtId="3" fontId="5" fillId="0" borderId="45" xfId="1" applyNumberFormat="1" applyFont="1" applyFill="1" applyBorder="1"/>
    <xf numFmtId="166" fontId="3" fillId="0" borderId="3" xfId="3" applyNumberFormat="1" applyFont="1" applyFill="1" applyBorder="1"/>
    <xf numFmtId="166" fontId="3" fillId="0" borderId="19" xfId="3" applyNumberFormat="1" applyFont="1" applyFill="1" applyBorder="1"/>
    <xf numFmtId="0" fontId="3" fillId="0" borderId="55" xfId="0" applyFont="1" applyFill="1" applyBorder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16" xfId="1" applyNumberFormat="1" applyFont="1" applyFill="1" applyBorder="1"/>
    <xf numFmtId="3" fontId="5" fillId="0" borderId="56" xfId="1" applyNumberFormat="1" applyFont="1" applyFill="1" applyBorder="1"/>
    <xf numFmtId="166" fontId="3" fillId="0" borderId="15" xfId="3" applyNumberFormat="1" applyFont="1" applyFill="1" applyBorder="1"/>
    <xf numFmtId="166" fontId="3" fillId="0" borderId="16" xfId="3" applyNumberFormat="1" applyFont="1" applyFill="1" applyBorder="1"/>
    <xf numFmtId="166" fontId="3" fillId="0" borderId="57" xfId="3" applyNumberFormat="1" applyFont="1" applyFill="1" applyBorder="1"/>
    <xf numFmtId="0" fontId="3" fillId="0" borderId="9" xfId="0" applyFont="1" applyFill="1" applyBorder="1" applyAlignment="1">
      <alignment horizontal="left"/>
    </xf>
    <xf numFmtId="3" fontId="3" fillId="0" borderId="0" xfId="1" applyNumberFormat="1" applyFont="1" applyFill="1" applyBorder="1"/>
    <xf numFmtId="0" fontId="3" fillId="0" borderId="11" xfId="0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3" fontId="3" fillId="0" borderId="12" xfId="1" applyNumberFormat="1" applyFont="1" applyFill="1" applyBorder="1"/>
    <xf numFmtId="3" fontId="5" fillId="0" borderId="12" xfId="1" applyNumberFormat="1" applyFont="1" applyFill="1" applyBorder="1"/>
    <xf numFmtId="3" fontId="5" fillId="0" borderId="38" xfId="1" applyNumberFormat="1" applyFont="1" applyFill="1" applyBorder="1"/>
    <xf numFmtId="164" fontId="3" fillId="0" borderId="12" xfId="3" applyFont="1" applyFill="1" applyBorder="1"/>
    <xf numFmtId="164" fontId="3" fillId="0" borderId="20" xfId="3" applyFont="1" applyFill="1" applyBorder="1"/>
    <xf numFmtId="3" fontId="5" fillId="0" borderId="0" xfId="1" applyNumberFormat="1" applyFont="1" applyFill="1" applyBorder="1"/>
    <xf numFmtId="3" fontId="5" fillId="0" borderId="10" xfId="1" applyNumberFormat="1" applyFont="1" applyFill="1" applyBorder="1"/>
    <xf numFmtId="0" fontId="3" fillId="0" borderId="1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/>
    </xf>
    <xf numFmtId="3" fontId="3" fillId="0" borderId="2" xfId="1" applyNumberFormat="1" applyFont="1" applyFill="1" applyBorder="1"/>
    <xf numFmtId="3" fontId="5" fillId="0" borderId="39" xfId="1" applyNumberFormat="1" applyFont="1" applyFill="1" applyBorder="1"/>
    <xf numFmtId="0" fontId="3" fillId="0" borderId="15" xfId="0" applyFont="1" applyFill="1" applyBorder="1" applyAlignment="1">
      <alignment horizontal="left"/>
    </xf>
    <xf numFmtId="1" fontId="3" fillId="0" borderId="16" xfId="0" applyNumberFormat="1" applyFont="1" applyFill="1" applyBorder="1" applyAlignment="1">
      <alignment horizontal="center"/>
    </xf>
    <xf numFmtId="164" fontId="3" fillId="0" borderId="16" xfId="3" applyFont="1" applyFill="1" applyBorder="1"/>
    <xf numFmtId="164" fontId="5" fillId="0" borderId="46" xfId="3" applyFont="1" applyFill="1" applyBorder="1"/>
    <xf numFmtId="164" fontId="5" fillId="0" borderId="10" xfId="3" applyNumberFormat="1" applyFont="1" applyFill="1" applyBorder="1"/>
    <xf numFmtId="0" fontId="22" fillId="0" borderId="0" xfId="0" applyFont="1" applyFill="1"/>
    <xf numFmtId="0" fontId="0" fillId="0" borderId="0" xfId="0" applyFill="1" applyBorder="1" applyAlignment="1">
      <alignment horizontal="left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/>
    <xf numFmtId="0" fontId="23" fillId="0" borderId="0" xfId="0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5" fillId="0" borderId="10" xfId="1" applyNumberFormat="1" applyFont="1" applyFill="1" applyBorder="1" applyAlignment="1"/>
    <xf numFmtId="0" fontId="1" fillId="0" borderId="2" xfId="0" applyFont="1" applyFill="1" applyBorder="1"/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/>
    <xf numFmtId="49" fontId="0" fillId="0" borderId="2" xfId="0" applyNumberFormat="1" applyFill="1" applyBorder="1" applyAlignment="1">
      <alignment horizontal="center"/>
    </xf>
    <xf numFmtId="3" fontId="5" fillId="0" borderId="2" xfId="0" applyNumberFormat="1" applyFont="1" applyFill="1" applyBorder="1"/>
    <xf numFmtId="0" fontId="5" fillId="0" borderId="2" xfId="0" applyFont="1" applyFill="1" applyBorder="1"/>
    <xf numFmtId="0" fontId="5" fillId="0" borderId="13" xfId="0" applyFont="1" applyFill="1" applyBorder="1"/>
    <xf numFmtId="3" fontId="3" fillId="0" borderId="2" xfId="0" applyNumberFormat="1" applyFont="1" applyFill="1" applyBorder="1"/>
    <xf numFmtId="0" fontId="21" fillId="0" borderId="2" xfId="0" applyFont="1" applyFill="1" applyBorder="1"/>
    <xf numFmtId="3" fontId="0" fillId="0" borderId="0" xfId="0" applyNumberFormat="1" applyBorder="1"/>
    <xf numFmtId="0" fontId="2" fillId="0" borderId="12" xfId="0" applyFont="1" applyBorder="1"/>
    <xf numFmtId="3" fontId="0" fillId="0" borderId="12" xfId="0" applyNumberFormat="1" applyBorder="1"/>
    <xf numFmtId="0" fontId="3" fillId="0" borderId="0" xfId="0" applyFont="1" applyAlignment="1">
      <alignment wrapText="1"/>
    </xf>
    <xf numFmtId="3" fontId="3" fillId="0" borderId="0" xfId="0" applyNumberFormat="1" applyFont="1"/>
    <xf numFmtId="3" fontId="3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quotePrefix="1" applyFont="1"/>
    <xf numFmtId="0" fontId="31" fillId="0" borderId="0" xfId="0" applyFont="1" applyAlignment="1">
      <alignment vertical="center"/>
    </xf>
    <xf numFmtId="3" fontId="0" fillId="0" borderId="0" xfId="0" applyNumberFormat="1" applyAlignment="1">
      <alignment horizontal="left"/>
    </xf>
    <xf numFmtId="0" fontId="2" fillId="0" borderId="16" xfId="0" applyFont="1" applyBorder="1"/>
    <xf numFmtId="3" fontId="3" fillId="0" borderId="16" xfId="0" applyNumberFormat="1" applyFont="1" applyBorder="1"/>
    <xf numFmtId="3" fontId="0" fillId="0" borderId="16" xfId="0" applyNumberFormat="1" applyBorder="1"/>
    <xf numFmtId="0" fontId="2" fillId="0" borderId="0" xfId="0" applyFont="1" applyAlignment="1">
      <alignment vertical="top" wrapText="1"/>
    </xf>
  </cellXfs>
  <cellStyles count="5">
    <cellStyle name="Komma" xfId="1" builtinId="3"/>
    <cellStyle name="Normal" xfId="0" builtinId="0"/>
    <cellStyle name="Normal_Reparasjoner" xfId="2"/>
    <cellStyle name="Prosent" xfId="3" builtinId="5"/>
    <cellStyle name="Prosent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Hele 2013</a:t>
            </a:r>
          </a:p>
        </c:rich>
      </c:tx>
      <c:layout>
        <c:manualLayout>
          <c:xMode val="edge"/>
          <c:yMode val="edge"/>
          <c:x val="0.78775592720331444"/>
          <c:y val="6.432805211089504E-2"/>
        </c:manualLayout>
      </c:layout>
      <c:overlay val="0"/>
      <c:spPr>
        <a:noFill/>
        <a:ln w="25400">
          <a:noFill/>
        </a:ln>
      </c:spPr>
    </c:title>
    <c:autoTitleDeleted val="0"/>
    <c:view3D>
      <c:rotX val="75"/>
      <c:rotY val="280"/>
      <c:rAngAx val="0"/>
      <c:perspective val="3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3880410403245048"/>
          <c:y val="0.1781380768699459"/>
          <c:w val="0.27052376304201642"/>
          <c:h val="0.6626189337668824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7.8137421919363993E-3"/>
                  <c:y val="-2.4255889175678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8143100511073255E-3"/>
                  <c:y val="6.08575380359612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3875392918304293E-2"/>
                  <c:y val="2.87385238670892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5972850071764879E-2"/>
                  <c:y val="-0.119128739612942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Høreapparater!$D$423:$D$427</c:f>
              <c:strCache>
                <c:ptCount val="5"/>
                <c:pt idx="0">
                  <c:v>Bak øret alle</c:v>
                </c:pt>
                <c:pt idx="1">
                  <c:v>I øret</c:v>
                </c:pt>
                <c:pt idx="2">
                  <c:v>Kanal</c:v>
                </c:pt>
                <c:pt idx="3">
                  <c:v>CIC</c:v>
                </c:pt>
                <c:pt idx="4">
                  <c:v>Benforankret</c:v>
                </c:pt>
              </c:strCache>
            </c:strRef>
          </c:cat>
          <c:val>
            <c:numRef>
              <c:f>Høreapparater!$M$423:$M$427</c:f>
              <c:numCache>
                <c:formatCode>#,##0</c:formatCode>
                <c:ptCount val="5"/>
                <c:pt idx="0">
                  <c:v>53595</c:v>
                </c:pt>
                <c:pt idx="1">
                  <c:v>9480</c:v>
                </c:pt>
                <c:pt idx="2">
                  <c:v>13</c:v>
                </c:pt>
                <c:pt idx="3">
                  <c:v>2575</c:v>
                </c:pt>
                <c:pt idx="4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Side &amp;P</c:oddFooter>
    </c:headerFooter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Antall høreapparater
fordelt på leverandør
hele 2013</a:t>
            </a:r>
          </a:p>
        </c:rich>
      </c:tx>
      <c:layout>
        <c:manualLayout>
          <c:xMode val="edge"/>
          <c:yMode val="edge"/>
          <c:x val="0.6812815863241206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53750197763147"/>
          <c:y val="0.20726563025775624"/>
          <c:w val="0.34569983136593591"/>
          <c:h val="0.6570533386334968"/>
        </c:manualLayout>
      </c:layout>
      <c:doughnutChart>
        <c:varyColors val="1"/>
        <c:ser>
          <c:idx val="0"/>
          <c:order val="0"/>
          <c:spPr>
            <a:ln w="15875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pattFill prst="pct25">
                <a:fgClr>
                  <a:srgbClr val="8080FF"/>
                </a:fgClr>
                <a:bgClr>
                  <a:schemeClr val="bg1"/>
                </a:bgClr>
              </a:pattFill>
              <a:ln w="15875"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pattFill prst="lgCheck">
                <a:fgClr>
                  <a:srgbClr val="8080FF"/>
                </a:fgClr>
                <a:bgClr>
                  <a:schemeClr val="bg1"/>
                </a:bgClr>
              </a:pattFill>
              <a:ln w="158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2734567375368652E-2"/>
                  <c:y val="-0.2210788074567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035901617398289"/>
                  <c:y val="-3.1744060838549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5576149967343723E-2"/>
                  <c:y val="0.197724611346658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115643774821806E-2"/>
                  <c:y val="0.19512349417861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693846422211134"/>
                  <c:y val="7.93670502725620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85973623467082"/>
                  <c:y val="-3.75038697085941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6577014040169251E-2"/>
                  <c:y val="-0.13152096372568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2591082606173455E-2"/>
                  <c:y val="-0.261212396527357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10358651072789"/>
                  <c:y val="-0.254101554613365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3996627318718381"/>
                  <c:y val="6.08976265074948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25203302058129401"/>
                  <c:y val="3.34448160535117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31300875136709094"/>
                  <c:y val="0.257525083612040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General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Høreapparater!$D$477:$D$485</c:f>
              <c:strCache>
                <c:ptCount val="9"/>
                <c:pt idx="0">
                  <c:v>Oticon</c:v>
                </c:pt>
                <c:pt idx="1">
                  <c:v>Phonak</c:v>
                </c:pt>
                <c:pt idx="2">
                  <c:v>GN ReSound</c:v>
                </c:pt>
                <c:pt idx="3">
                  <c:v>Medisan</c:v>
                </c:pt>
                <c:pt idx="4">
                  <c:v>Siemens</c:v>
                </c:pt>
                <c:pt idx="5">
                  <c:v>Gewa</c:v>
                </c:pt>
                <c:pt idx="6">
                  <c:v>Medus</c:v>
                </c:pt>
                <c:pt idx="7">
                  <c:v>Starkey</c:v>
                </c:pt>
                <c:pt idx="8">
                  <c:v>Unitron Hearing</c:v>
                </c:pt>
              </c:strCache>
            </c:strRef>
          </c:cat>
          <c:val>
            <c:numRef>
              <c:f>Høreapparater!$M$477:$M$485</c:f>
              <c:numCache>
                <c:formatCode>#,##0</c:formatCode>
                <c:ptCount val="9"/>
                <c:pt idx="0">
                  <c:v>17689</c:v>
                </c:pt>
                <c:pt idx="1">
                  <c:v>12274</c:v>
                </c:pt>
                <c:pt idx="2">
                  <c:v>11162</c:v>
                </c:pt>
                <c:pt idx="3">
                  <c:v>10308</c:v>
                </c:pt>
                <c:pt idx="4">
                  <c:v>7448</c:v>
                </c:pt>
                <c:pt idx="5">
                  <c:v>3947</c:v>
                </c:pt>
                <c:pt idx="6">
                  <c:v>1402</c:v>
                </c:pt>
                <c:pt idx="7">
                  <c:v>1362</c:v>
                </c:pt>
                <c:pt idx="8">
                  <c:v>166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2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Side &amp;P</c:oddFooter>
    </c:headerFooter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Tinnitusmaskerere</a:t>
            </a:r>
            <a:br>
              <a:rPr lang="nb-NO"/>
            </a:br>
            <a:r>
              <a:rPr lang="nb-NO"/>
              <a:t>hele 2013</a:t>
            </a:r>
          </a:p>
        </c:rich>
      </c:tx>
      <c:layout>
        <c:manualLayout>
          <c:xMode val="edge"/>
          <c:yMode val="edge"/>
          <c:x val="0.78775592720331444"/>
          <c:y val="6.4328052110895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880410403245048"/>
          <c:y val="0.1781380768699459"/>
          <c:w val="0.27052376304201642"/>
          <c:h val="0.66261893376688241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6987576552930882E-2"/>
                  <c:y val="3.31950207468879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017340332458443"/>
                  <c:y val="0.191212032105945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0974707415649376"/>
                  <c:y val="2.874301344655470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3149069739366053E-2"/>
                  <c:y val="-0.2297788087692357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Tinnitusmaskerere!$D$25:$D$29</c:f>
              <c:strCache>
                <c:ptCount val="5"/>
                <c:pt idx="0">
                  <c:v>Bak øret</c:v>
                </c:pt>
                <c:pt idx="1">
                  <c:v>I øret</c:v>
                </c:pt>
                <c:pt idx="2">
                  <c:v>Kanal</c:v>
                </c:pt>
                <c:pt idx="3">
                  <c:v>Helix</c:v>
                </c:pt>
                <c:pt idx="4">
                  <c:v>Bord</c:v>
                </c:pt>
              </c:strCache>
            </c:strRef>
          </c:cat>
          <c:val>
            <c:numRef>
              <c:f>Tinnitusmaskerere!$M$25:$M$29</c:f>
              <c:numCache>
                <c:formatCode>#,##0</c:formatCode>
                <c:ptCount val="5"/>
                <c:pt idx="0">
                  <c:v>228</c:v>
                </c:pt>
                <c:pt idx="1">
                  <c:v>4</c:v>
                </c:pt>
                <c:pt idx="2">
                  <c:v>1</c:v>
                </c:pt>
                <c:pt idx="3">
                  <c:v>5</c:v>
                </c:pt>
                <c:pt idx="4">
                  <c:v>2132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8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Side &amp;P</c:oddFooter>
    </c:headerFooter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Antall høreapparater
fordelt på leverandør
1. kvartal 2013</a:t>
            </a:r>
          </a:p>
        </c:rich>
      </c:tx>
      <c:layout>
        <c:manualLayout>
          <c:xMode val="edge"/>
          <c:yMode val="edge"/>
          <c:x val="0.6812815863241206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53750197763147"/>
          <c:y val="0.20726563025775624"/>
          <c:w val="0.34569983136593591"/>
          <c:h val="0.6570533386334968"/>
        </c:manualLayout>
      </c:layout>
      <c:doughnutChart>
        <c:varyColors val="1"/>
        <c:ser>
          <c:idx val="0"/>
          <c:order val="0"/>
          <c:spPr>
            <a:ln w="15875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pattFill prst="pct25">
                <a:fgClr>
                  <a:srgbClr val="8080FF"/>
                </a:fgClr>
                <a:bgClr>
                  <a:schemeClr val="bg1"/>
                </a:bgClr>
              </a:pattFill>
              <a:ln w="15875">
                <a:solidFill>
                  <a:srgbClr val="000000"/>
                </a:solidFill>
              </a:ln>
            </c:spPr>
          </c:dPt>
          <c:dPt>
            <c:idx val="4"/>
            <c:bubble3D val="0"/>
            <c:spPr>
              <a:pattFill prst="lgCheck">
                <a:fgClr>
                  <a:srgbClr val="8080FF"/>
                </a:fgClr>
                <a:bgClr>
                  <a:schemeClr val="bg1"/>
                </a:bgClr>
              </a:pattFill>
              <a:ln w="15875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2734567375368652E-2"/>
                  <c:y val="-0.2210788074567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4035901617398289"/>
                  <c:y val="-3.17440608385490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8.5576149967343723E-2"/>
                  <c:y val="0.197724611346658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7.115643774821806E-2"/>
                  <c:y val="0.19512349417861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0.10693846422211134"/>
                  <c:y val="7.93670502725620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185973623467082"/>
                  <c:y val="-3.75038697085941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6577014040169251E-2"/>
                  <c:y val="-0.13152096372568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8.2591082606173455E-2"/>
                  <c:y val="-0.261212396527357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0.210358651072789"/>
                  <c:y val="-0.254101554613365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Mode val="edge"/>
                  <c:yMode val="edge"/>
                  <c:x val="0.3996627318718381"/>
                  <c:y val="6.08976265074948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Mode val="edge"/>
                  <c:yMode val="edge"/>
                  <c:x val="0.25203302058129401"/>
                  <c:y val="3.344481605351170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Mode val="edge"/>
                  <c:yMode val="edge"/>
                  <c:x val="0.31300875136709094"/>
                  <c:y val="0.257525083612040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multiLvlStrRef>
              <c:f>Tinnitusmaskerere!$D$76:$D$84</c:f>
            </c:multiLvlStrRef>
          </c:cat>
          <c:val>
            <c:numRef>
              <c:f>Tinnitusmaskerere!$I$76:$I$84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20"/>
        <c:holeSize val="1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>
      <c:oddHeader>&amp;A</c:oddHeader>
      <c:oddFooter>Side &amp;P</c:oddFooter>
    </c:headerFooter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Høreapparatkostnader for NAV</a:t>
            </a:r>
          </a:p>
        </c:rich>
      </c:tx>
      <c:layout>
        <c:manualLayout>
          <c:xMode val="edge"/>
          <c:yMode val="edge"/>
          <c:x val="0.27990152487135195"/>
          <c:y val="3.0952452921440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6431786832548"/>
          <c:y val="0.12043498203501261"/>
          <c:w val="0.87078105588674293"/>
          <c:h val="0.78763448258288105"/>
        </c:manualLayout>
      </c:layout>
      <c:barChart>
        <c:barDir val="col"/>
        <c:grouping val="clustered"/>
        <c:varyColors val="0"/>
        <c:ser>
          <c:idx val="0"/>
          <c:order val="0"/>
          <c:tx>
            <c:v>Ukorrigert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'HA 95-13'!$F$1:$T$1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'HA 95-13'!$F$30:$T$30</c:f>
              <c:numCache>
                <c:formatCode>#,##0</c:formatCode>
                <c:ptCount val="15"/>
                <c:pt idx="0">
                  <c:v>190.5</c:v>
                </c:pt>
                <c:pt idx="1">
                  <c:v>225</c:v>
                </c:pt>
                <c:pt idx="2">
                  <c:v>213.9</c:v>
                </c:pt>
                <c:pt idx="3">
                  <c:v>230.4</c:v>
                </c:pt>
                <c:pt idx="4">
                  <c:v>232.9</c:v>
                </c:pt>
                <c:pt idx="5">
                  <c:v>259.60000000000002</c:v>
                </c:pt>
                <c:pt idx="6">
                  <c:v>284</c:v>
                </c:pt>
                <c:pt idx="7">
                  <c:v>277</c:v>
                </c:pt>
                <c:pt idx="8">
                  <c:v>325</c:v>
                </c:pt>
                <c:pt idx="9">
                  <c:v>327</c:v>
                </c:pt>
                <c:pt idx="10">
                  <c:v>314</c:v>
                </c:pt>
                <c:pt idx="11">
                  <c:v>383</c:v>
                </c:pt>
                <c:pt idx="12">
                  <c:v>299</c:v>
                </c:pt>
                <c:pt idx="13">
                  <c:v>190</c:v>
                </c:pt>
                <c:pt idx="14">
                  <c:v>261</c:v>
                </c:pt>
              </c:numCache>
            </c:numRef>
          </c:val>
        </c:ser>
        <c:ser>
          <c:idx val="2"/>
          <c:order val="1"/>
          <c:tx>
            <c:v>Korrigert for prisgrensen</c:v>
          </c:tx>
          <c:invertIfNegative val="0"/>
          <c:cat>
            <c:numRef>
              <c:f>'HA 95-13'!$F$1:$T$1</c:f>
              <c:numCache>
                <c:formatCode>General</c:formatCode>
                <c:ptCount val="1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</c:numCache>
            </c:numRef>
          </c:cat>
          <c:val>
            <c:numRef>
              <c:f>'HA 95-13'!$F$31:$T$31</c:f>
              <c:numCache>
                <c:formatCode>#,##0</c:formatCode>
                <c:ptCount val="15"/>
                <c:pt idx="0">
                  <c:v>190.5</c:v>
                </c:pt>
                <c:pt idx="1">
                  <c:v>225</c:v>
                </c:pt>
                <c:pt idx="2">
                  <c:v>213.9</c:v>
                </c:pt>
                <c:pt idx="3">
                  <c:v>230.4</c:v>
                </c:pt>
                <c:pt idx="4">
                  <c:v>232.9</c:v>
                </c:pt>
                <c:pt idx="5">
                  <c:v>259.60000000000002</c:v>
                </c:pt>
                <c:pt idx="6">
                  <c:v>264</c:v>
                </c:pt>
                <c:pt idx="7">
                  <c:v>256</c:v>
                </c:pt>
                <c:pt idx="8">
                  <c:v>303</c:v>
                </c:pt>
                <c:pt idx="9">
                  <c:v>321</c:v>
                </c:pt>
                <c:pt idx="10">
                  <c:v>312.58</c:v>
                </c:pt>
                <c:pt idx="11">
                  <c:v>370</c:v>
                </c:pt>
                <c:pt idx="12">
                  <c:v>289</c:v>
                </c:pt>
                <c:pt idx="13">
                  <c:v>176</c:v>
                </c:pt>
                <c:pt idx="14">
                  <c:v>252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31936"/>
        <c:axId val="130646016"/>
      </c:barChart>
      <c:catAx>
        <c:axId val="13063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064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64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 sz="1200" b="0"/>
                  <a:t>mill kr ex mva</a:t>
                </a:r>
              </a:p>
            </c:rich>
          </c:tx>
          <c:layout>
            <c:manualLayout>
              <c:xMode val="edge"/>
              <c:yMode val="edge"/>
              <c:x val="2.9812459594650544E-2"/>
              <c:y val="0.346397709483357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30631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2893157084082"/>
          <c:y val="0.15183113746253102"/>
          <c:w val="0.14630940144967691"/>
          <c:h val="0.198788280991903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 horizontalDpi="-3" vertic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/>
              <a:t>Antall NAV-apparater pr år</a:t>
            </a:r>
          </a:p>
        </c:rich>
      </c:tx>
      <c:layout>
        <c:manualLayout>
          <c:xMode val="edge"/>
          <c:yMode val="edge"/>
          <c:x val="0.37550625845411462"/>
          <c:y val="3.0612275402857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86238369337504E-2"/>
          <c:y val="9.3877644568762519E-2"/>
          <c:w val="0.92510167177105329"/>
          <c:h val="0.6326536916590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 95-13'!$B$1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95-13'!$B$2:$B$15</c:f>
              <c:numCache>
                <c:formatCode>#,##0</c:formatCode>
                <c:ptCount val="14"/>
                <c:pt idx="1">
                  <c:v>0</c:v>
                </c:pt>
                <c:pt idx="2">
                  <c:v>2128</c:v>
                </c:pt>
                <c:pt idx="3">
                  <c:v>3920</c:v>
                </c:pt>
                <c:pt idx="4">
                  <c:v>794</c:v>
                </c:pt>
                <c:pt idx="5">
                  <c:v>5077</c:v>
                </c:pt>
                <c:pt idx="7">
                  <c:v>5535</c:v>
                </c:pt>
                <c:pt idx="8">
                  <c:v>2550</c:v>
                </c:pt>
                <c:pt idx="9">
                  <c:v>10313</c:v>
                </c:pt>
                <c:pt idx="10">
                  <c:v>2627</c:v>
                </c:pt>
                <c:pt idx="11">
                  <c:v>361</c:v>
                </c:pt>
                <c:pt idx="13">
                  <c:v>608</c:v>
                </c:pt>
              </c:numCache>
            </c:numRef>
          </c:val>
        </c:ser>
        <c:ser>
          <c:idx val="1"/>
          <c:order val="1"/>
          <c:tx>
            <c:strRef>
              <c:f>'HA 95-13'!$C$1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95-13'!$C$2:$C$15</c:f>
              <c:numCache>
                <c:formatCode>#,##0</c:formatCode>
                <c:ptCount val="14"/>
                <c:pt idx="1">
                  <c:v>200</c:v>
                </c:pt>
                <c:pt idx="2">
                  <c:v>2234</c:v>
                </c:pt>
                <c:pt idx="3">
                  <c:v>4120</c:v>
                </c:pt>
                <c:pt idx="4">
                  <c:v>395</c:v>
                </c:pt>
                <c:pt idx="5">
                  <c:v>5298</c:v>
                </c:pt>
                <c:pt idx="7">
                  <c:v>5032</c:v>
                </c:pt>
                <c:pt idx="8">
                  <c:v>2213</c:v>
                </c:pt>
                <c:pt idx="9">
                  <c:v>7526</c:v>
                </c:pt>
                <c:pt idx="10">
                  <c:v>2648</c:v>
                </c:pt>
                <c:pt idx="11">
                  <c:v>3030</c:v>
                </c:pt>
                <c:pt idx="13">
                  <c:v>256</c:v>
                </c:pt>
              </c:numCache>
            </c:numRef>
          </c:val>
        </c:ser>
        <c:ser>
          <c:idx val="2"/>
          <c:order val="2"/>
          <c:tx>
            <c:strRef>
              <c:f>'HA 95-13'!$D$1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95-13'!$D$2:$D$15</c:f>
              <c:numCache>
                <c:formatCode>#,##0</c:formatCode>
                <c:ptCount val="14"/>
                <c:pt idx="1">
                  <c:v>470</c:v>
                </c:pt>
                <c:pt idx="2">
                  <c:v>1556</c:v>
                </c:pt>
                <c:pt idx="3">
                  <c:v>2912</c:v>
                </c:pt>
                <c:pt idx="4">
                  <c:v>353</c:v>
                </c:pt>
                <c:pt idx="5">
                  <c:v>9329</c:v>
                </c:pt>
                <c:pt idx="7">
                  <c:v>5359</c:v>
                </c:pt>
                <c:pt idx="8">
                  <c:v>1731</c:v>
                </c:pt>
                <c:pt idx="9">
                  <c:v>5870</c:v>
                </c:pt>
                <c:pt idx="10">
                  <c:v>2193</c:v>
                </c:pt>
                <c:pt idx="11">
                  <c:v>4962</c:v>
                </c:pt>
                <c:pt idx="13">
                  <c:v>0</c:v>
                </c:pt>
              </c:numCache>
            </c:numRef>
          </c:val>
        </c:ser>
        <c:ser>
          <c:idx val="3"/>
          <c:order val="3"/>
          <c:tx>
            <c:strRef>
              <c:f>'HA 95-13'!$E$1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95-13'!$E$2:$E$15</c:f>
              <c:numCache>
                <c:formatCode>#,##0</c:formatCode>
                <c:ptCount val="14"/>
                <c:pt idx="1">
                  <c:v>626</c:v>
                </c:pt>
                <c:pt idx="2">
                  <c:v>1532</c:v>
                </c:pt>
                <c:pt idx="3">
                  <c:v>2230</c:v>
                </c:pt>
                <c:pt idx="4">
                  <c:v>1130</c:v>
                </c:pt>
                <c:pt idx="5">
                  <c:v>11886</c:v>
                </c:pt>
                <c:pt idx="7">
                  <c:v>9368</c:v>
                </c:pt>
                <c:pt idx="8">
                  <c:v>2179</c:v>
                </c:pt>
                <c:pt idx="9">
                  <c:v>3831</c:v>
                </c:pt>
                <c:pt idx="10">
                  <c:v>2228</c:v>
                </c:pt>
                <c:pt idx="11">
                  <c:v>4768</c:v>
                </c:pt>
                <c:pt idx="13">
                  <c:v>0</c:v>
                </c:pt>
              </c:numCache>
            </c:numRef>
          </c:val>
        </c:ser>
        <c:ser>
          <c:idx val="4"/>
          <c:order val="4"/>
          <c:tx>
            <c:strRef>
              <c:f>'HA 95-13'!$F$1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95-13'!$F$2:$F$15</c:f>
              <c:numCache>
                <c:formatCode>#,##0</c:formatCode>
                <c:ptCount val="14"/>
                <c:pt idx="1">
                  <c:v>1529</c:v>
                </c:pt>
                <c:pt idx="2">
                  <c:v>1470</c:v>
                </c:pt>
                <c:pt idx="3">
                  <c:v>1921</c:v>
                </c:pt>
                <c:pt idx="4">
                  <c:v>1501</c:v>
                </c:pt>
                <c:pt idx="5">
                  <c:v>12780</c:v>
                </c:pt>
                <c:pt idx="7">
                  <c:v>10584</c:v>
                </c:pt>
                <c:pt idx="8">
                  <c:v>2655</c:v>
                </c:pt>
                <c:pt idx="9">
                  <c:v>4879</c:v>
                </c:pt>
                <c:pt idx="10">
                  <c:v>2158</c:v>
                </c:pt>
                <c:pt idx="11">
                  <c:v>4191</c:v>
                </c:pt>
                <c:pt idx="13">
                  <c:v>0</c:v>
                </c:pt>
              </c:numCache>
            </c:numRef>
          </c:val>
        </c:ser>
        <c:ser>
          <c:idx val="5"/>
          <c:order val="5"/>
          <c:tx>
            <c:strRef>
              <c:f>'HA 95-13'!$G$1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95-13'!$G$2:$G$15</c:f>
              <c:numCache>
                <c:formatCode>#,##0</c:formatCode>
                <c:ptCount val="14"/>
                <c:pt idx="1">
                  <c:v>2994</c:v>
                </c:pt>
                <c:pt idx="2">
                  <c:v>1324</c:v>
                </c:pt>
                <c:pt idx="3">
                  <c:v>3955</c:v>
                </c:pt>
                <c:pt idx="4">
                  <c:v>1672</c:v>
                </c:pt>
                <c:pt idx="5">
                  <c:v>14000</c:v>
                </c:pt>
                <c:pt idx="7">
                  <c:v>10346</c:v>
                </c:pt>
                <c:pt idx="8">
                  <c:v>3630</c:v>
                </c:pt>
                <c:pt idx="9">
                  <c:v>5252</c:v>
                </c:pt>
                <c:pt idx="10">
                  <c:v>2955</c:v>
                </c:pt>
                <c:pt idx="11">
                  <c:v>3955</c:v>
                </c:pt>
                <c:pt idx="13">
                  <c:v>0</c:v>
                </c:pt>
              </c:numCache>
            </c:numRef>
          </c:val>
        </c:ser>
        <c:ser>
          <c:idx val="6"/>
          <c:order val="6"/>
          <c:tx>
            <c:strRef>
              <c:f>'HA 95-13'!$H$1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95-13'!$H$2:$H$15</c:f>
              <c:numCache>
                <c:formatCode>#,##0</c:formatCode>
                <c:ptCount val="14"/>
                <c:pt idx="1">
                  <c:v>3383</c:v>
                </c:pt>
                <c:pt idx="2">
                  <c:v>992</c:v>
                </c:pt>
                <c:pt idx="3">
                  <c:v>2737</c:v>
                </c:pt>
                <c:pt idx="4">
                  <c:v>2378</c:v>
                </c:pt>
                <c:pt idx="5">
                  <c:v>9936</c:v>
                </c:pt>
                <c:pt idx="6">
                  <c:v>232</c:v>
                </c:pt>
                <c:pt idx="7">
                  <c:v>9345</c:v>
                </c:pt>
                <c:pt idx="8">
                  <c:v>4668</c:v>
                </c:pt>
                <c:pt idx="9">
                  <c:v>5966</c:v>
                </c:pt>
                <c:pt idx="10">
                  <c:v>3518</c:v>
                </c:pt>
                <c:pt idx="11">
                  <c:v>6137</c:v>
                </c:pt>
                <c:pt idx="13">
                  <c:v>0</c:v>
                </c:pt>
              </c:numCache>
            </c:numRef>
          </c:val>
        </c:ser>
        <c:ser>
          <c:idx val="7"/>
          <c:order val="7"/>
          <c:tx>
            <c:strRef>
              <c:f>'HA 95-13'!$I$1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95-13'!$I$2:$I$15</c:f>
              <c:numCache>
                <c:formatCode>#,##0</c:formatCode>
                <c:ptCount val="14"/>
                <c:pt idx="1">
                  <c:v>2143</c:v>
                </c:pt>
                <c:pt idx="2">
                  <c:v>880</c:v>
                </c:pt>
                <c:pt idx="3">
                  <c:v>1431</c:v>
                </c:pt>
                <c:pt idx="4">
                  <c:v>1737</c:v>
                </c:pt>
                <c:pt idx="5">
                  <c:v>8458</c:v>
                </c:pt>
                <c:pt idx="6">
                  <c:v>293</c:v>
                </c:pt>
                <c:pt idx="7">
                  <c:v>14962</c:v>
                </c:pt>
                <c:pt idx="8">
                  <c:v>4981</c:v>
                </c:pt>
                <c:pt idx="9">
                  <c:v>5911</c:v>
                </c:pt>
                <c:pt idx="10">
                  <c:v>4110</c:v>
                </c:pt>
                <c:pt idx="11">
                  <c:v>4991</c:v>
                </c:pt>
                <c:pt idx="13">
                  <c:v>0</c:v>
                </c:pt>
              </c:numCache>
            </c:numRef>
          </c:val>
        </c:ser>
        <c:ser>
          <c:idx val="8"/>
          <c:order val="8"/>
          <c:tx>
            <c:strRef>
              <c:f>'HA 95-13'!$J$1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95-13'!$J$2:$J$15</c:f>
              <c:numCache>
                <c:formatCode>#,##0</c:formatCode>
                <c:ptCount val="14"/>
                <c:pt idx="0">
                  <c:v>99</c:v>
                </c:pt>
                <c:pt idx="1">
                  <c:v>386</c:v>
                </c:pt>
                <c:pt idx="2">
                  <c:v>941</c:v>
                </c:pt>
                <c:pt idx="3">
                  <c:v>1631</c:v>
                </c:pt>
                <c:pt idx="4">
                  <c:v>1755</c:v>
                </c:pt>
                <c:pt idx="5">
                  <c:v>8659</c:v>
                </c:pt>
                <c:pt idx="6">
                  <c:v>457</c:v>
                </c:pt>
                <c:pt idx="7">
                  <c:v>14643</c:v>
                </c:pt>
                <c:pt idx="8">
                  <c:v>5846</c:v>
                </c:pt>
                <c:pt idx="9">
                  <c:v>7518</c:v>
                </c:pt>
                <c:pt idx="10">
                  <c:v>4190</c:v>
                </c:pt>
                <c:pt idx="11">
                  <c:v>4200</c:v>
                </c:pt>
                <c:pt idx="13">
                  <c:v>124</c:v>
                </c:pt>
              </c:numCache>
            </c:numRef>
          </c:val>
        </c:ser>
        <c:ser>
          <c:idx val="9"/>
          <c:order val="9"/>
          <c:tx>
            <c:strRef>
              <c:f>'HA 95-13'!$K$1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95-13'!$K$2:$K$15</c:f>
              <c:numCache>
                <c:formatCode>#,##0</c:formatCode>
                <c:ptCount val="14"/>
                <c:pt idx="0">
                  <c:v>287</c:v>
                </c:pt>
                <c:pt idx="1">
                  <c:v>0</c:v>
                </c:pt>
                <c:pt idx="2">
                  <c:v>819</c:v>
                </c:pt>
                <c:pt idx="3">
                  <c:v>1847</c:v>
                </c:pt>
                <c:pt idx="4">
                  <c:v>2165</c:v>
                </c:pt>
                <c:pt idx="5">
                  <c:v>11109</c:v>
                </c:pt>
                <c:pt idx="6">
                  <c:v>1237</c:v>
                </c:pt>
                <c:pt idx="7">
                  <c:v>14990</c:v>
                </c:pt>
                <c:pt idx="8">
                  <c:v>4638</c:v>
                </c:pt>
                <c:pt idx="9">
                  <c:v>11581</c:v>
                </c:pt>
                <c:pt idx="10">
                  <c:v>3772</c:v>
                </c:pt>
                <c:pt idx="11">
                  <c:v>3024</c:v>
                </c:pt>
                <c:pt idx="13">
                  <c:v>647</c:v>
                </c:pt>
              </c:numCache>
            </c:numRef>
          </c:val>
        </c:ser>
        <c:ser>
          <c:idx val="10"/>
          <c:order val="10"/>
          <c:tx>
            <c:strRef>
              <c:f>'HA 95-13'!$L$1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95-13'!$L$2:$L$15</c:f>
              <c:numCache>
                <c:formatCode>#,##0</c:formatCode>
                <c:ptCount val="14"/>
                <c:pt idx="0">
                  <c:v>262</c:v>
                </c:pt>
                <c:pt idx="1">
                  <c:v>0</c:v>
                </c:pt>
                <c:pt idx="2">
                  <c:v>1211</c:v>
                </c:pt>
                <c:pt idx="3">
                  <c:v>2608</c:v>
                </c:pt>
                <c:pt idx="4">
                  <c:v>3181</c:v>
                </c:pt>
                <c:pt idx="5">
                  <c:v>10867</c:v>
                </c:pt>
                <c:pt idx="6">
                  <c:v>1682</c:v>
                </c:pt>
                <c:pt idx="7">
                  <c:v>16834</c:v>
                </c:pt>
                <c:pt idx="8">
                  <c:v>4960</c:v>
                </c:pt>
                <c:pt idx="9">
                  <c:v>12076</c:v>
                </c:pt>
                <c:pt idx="10">
                  <c:v>3823</c:v>
                </c:pt>
                <c:pt idx="11">
                  <c:v>2606</c:v>
                </c:pt>
                <c:pt idx="13">
                  <c:v>468</c:v>
                </c:pt>
              </c:numCache>
            </c:numRef>
          </c:val>
        </c:ser>
        <c:ser>
          <c:idx val="11"/>
          <c:order val="11"/>
          <c:tx>
            <c:strRef>
              <c:f>'HA 95-13'!$M$1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95-13'!$M$2:$M$15</c:f>
              <c:numCache>
                <c:formatCode>#,##0</c:formatCode>
                <c:ptCount val="14"/>
                <c:pt idx="0">
                  <c:v>487</c:v>
                </c:pt>
                <c:pt idx="1">
                  <c:v>0</c:v>
                </c:pt>
                <c:pt idx="2">
                  <c:v>1346</c:v>
                </c:pt>
                <c:pt idx="3">
                  <c:v>2442</c:v>
                </c:pt>
                <c:pt idx="4">
                  <c:v>3074</c:v>
                </c:pt>
                <c:pt idx="5">
                  <c:v>8400</c:v>
                </c:pt>
                <c:pt idx="6">
                  <c:v>909</c:v>
                </c:pt>
                <c:pt idx="7">
                  <c:v>15376</c:v>
                </c:pt>
                <c:pt idx="8">
                  <c:v>7921</c:v>
                </c:pt>
                <c:pt idx="9">
                  <c:v>10921</c:v>
                </c:pt>
                <c:pt idx="10">
                  <c:v>4494</c:v>
                </c:pt>
                <c:pt idx="11">
                  <c:v>2273</c:v>
                </c:pt>
                <c:pt idx="12">
                  <c:v>443</c:v>
                </c:pt>
                <c:pt idx="13">
                  <c:v>309</c:v>
                </c:pt>
              </c:numCache>
            </c:numRef>
          </c:val>
        </c:ser>
        <c:ser>
          <c:idx val="12"/>
          <c:order val="12"/>
          <c:tx>
            <c:strRef>
              <c:f>'HA 95-13'!$N$1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95-13'!$N$2:$N$15</c:f>
              <c:numCache>
                <c:formatCode>#,##0</c:formatCode>
                <c:ptCount val="14"/>
                <c:pt idx="0">
                  <c:v>352</c:v>
                </c:pt>
                <c:pt idx="1">
                  <c:v>0</c:v>
                </c:pt>
                <c:pt idx="2">
                  <c:v>0</c:v>
                </c:pt>
                <c:pt idx="3">
                  <c:v>2844</c:v>
                </c:pt>
                <c:pt idx="4">
                  <c:v>3861</c:v>
                </c:pt>
                <c:pt idx="5">
                  <c:v>12124</c:v>
                </c:pt>
                <c:pt idx="6">
                  <c:v>1599</c:v>
                </c:pt>
                <c:pt idx="7">
                  <c:v>14752</c:v>
                </c:pt>
                <c:pt idx="8">
                  <c:v>9412</c:v>
                </c:pt>
                <c:pt idx="9">
                  <c:v>11752</c:v>
                </c:pt>
                <c:pt idx="10">
                  <c:v>5361</c:v>
                </c:pt>
                <c:pt idx="11">
                  <c:v>3804</c:v>
                </c:pt>
                <c:pt idx="12" formatCode="General">
                  <c:v>1614</c:v>
                </c:pt>
                <c:pt idx="13">
                  <c:v>237</c:v>
                </c:pt>
              </c:numCache>
            </c:numRef>
          </c:val>
        </c:ser>
        <c:ser>
          <c:idx val="13"/>
          <c:order val="13"/>
          <c:tx>
            <c:strRef>
              <c:f>'HA 95-13'!$O$1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95-13'!$O$2:$O$15</c:f>
              <c:numCache>
                <c:formatCode>#,##0</c:formatCode>
                <c:ptCount val="14"/>
                <c:pt idx="0">
                  <c:v>374</c:v>
                </c:pt>
                <c:pt idx="1">
                  <c:v>0</c:v>
                </c:pt>
                <c:pt idx="2">
                  <c:v>0</c:v>
                </c:pt>
                <c:pt idx="3">
                  <c:v>1608</c:v>
                </c:pt>
                <c:pt idx="4">
                  <c:v>2836</c:v>
                </c:pt>
                <c:pt idx="5">
                  <c:v>12901</c:v>
                </c:pt>
                <c:pt idx="6">
                  <c:v>1305</c:v>
                </c:pt>
                <c:pt idx="7">
                  <c:v>14756</c:v>
                </c:pt>
                <c:pt idx="8">
                  <c:v>10433</c:v>
                </c:pt>
                <c:pt idx="9">
                  <c:v>12197</c:v>
                </c:pt>
                <c:pt idx="10">
                  <c:v>4752</c:v>
                </c:pt>
                <c:pt idx="11">
                  <c:v>3720</c:v>
                </c:pt>
                <c:pt idx="12">
                  <c:v>2157</c:v>
                </c:pt>
                <c:pt idx="13" formatCode="General">
                  <c:v>489</c:v>
                </c:pt>
              </c:numCache>
            </c:numRef>
          </c:val>
        </c:ser>
        <c:ser>
          <c:idx val="14"/>
          <c:order val="14"/>
          <c:tx>
            <c:strRef>
              <c:f>'HA 95-13'!$P$1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95-13'!$P$2:$P$15</c:f>
              <c:numCache>
                <c:formatCode>#,##0</c:formatCode>
                <c:ptCount val="14"/>
                <c:pt idx="0">
                  <c:v>267</c:v>
                </c:pt>
                <c:pt idx="1">
                  <c:v>0</c:v>
                </c:pt>
                <c:pt idx="2">
                  <c:v>0</c:v>
                </c:pt>
                <c:pt idx="3">
                  <c:v>1495</c:v>
                </c:pt>
                <c:pt idx="4">
                  <c:v>1910</c:v>
                </c:pt>
                <c:pt idx="5">
                  <c:v>11085</c:v>
                </c:pt>
                <c:pt idx="6">
                  <c:v>1292</c:v>
                </c:pt>
                <c:pt idx="7">
                  <c:v>15947</c:v>
                </c:pt>
                <c:pt idx="8">
                  <c:v>10712</c:v>
                </c:pt>
                <c:pt idx="9">
                  <c:v>13557</c:v>
                </c:pt>
                <c:pt idx="10">
                  <c:v>4797</c:v>
                </c:pt>
                <c:pt idx="11">
                  <c:v>2840</c:v>
                </c:pt>
                <c:pt idx="12">
                  <c:v>1251</c:v>
                </c:pt>
                <c:pt idx="13" formatCode="General">
                  <c:v>216</c:v>
                </c:pt>
              </c:numCache>
            </c:numRef>
          </c:val>
        </c:ser>
        <c:ser>
          <c:idx val="15"/>
          <c:order val="15"/>
          <c:tx>
            <c:strRef>
              <c:f>'HA 95-13'!$Q$1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95-13'!$Q$2:$Q$15</c:f>
              <c:numCache>
                <c:formatCode>#,##0</c:formatCode>
                <c:ptCount val="14"/>
                <c:pt idx="0">
                  <c:v>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3060</c:v>
                </c:pt>
                <c:pt idx="5">
                  <c:v>10891</c:v>
                </c:pt>
                <c:pt idx="6">
                  <c:v>1649</c:v>
                </c:pt>
                <c:pt idx="7">
                  <c:v>26517</c:v>
                </c:pt>
                <c:pt idx="8">
                  <c:v>18232</c:v>
                </c:pt>
                <c:pt idx="9">
                  <c:v>17458</c:v>
                </c:pt>
                <c:pt idx="10">
                  <c:v>8948</c:v>
                </c:pt>
                <c:pt idx="11">
                  <c:v>1388</c:v>
                </c:pt>
                <c:pt idx="12">
                  <c:v>1389</c:v>
                </c:pt>
                <c:pt idx="13">
                  <c:v>0</c:v>
                </c:pt>
              </c:numCache>
            </c:numRef>
          </c:val>
        </c:ser>
        <c:ser>
          <c:idx val="16"/>
          <c:order val="16"/>
          <c:tx>
            <c:strRef>
              <c:f>'HA 95-13'!$R$1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95-13'!$R$2:$R$15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2892</c:v>
                </c:pt>
                <c:pt idx="5">
                  <c:v>9156</c:v>
                </c:pt>
                <c:pt idx="6">
                  <c:v>1120</c:v>
                </c:pt>
                <c:pt idx="7">
                  <c:v>23389</c:v>
                </c:pt>
                <c:pt idx="8">
                  <c:v>15487</c:v>
                </c:pt>
                <c:pt idx="9">
                  <c:v>11776</c:v>
                </c:pt>
                <c:pt idx="10">
                  <c:v>9656</c:v>
                </c:pt>
                <c:pt idx="11">
                  <c:v>180</c:v>
                </c:pt>
                <c:pt idx="12">
                  <c:v>67</c:v>
                </c:pt>
                <c:pt idx="13">
                  <c:v>0</c:v>
                </c:pt>
              </c:numCache>
            </c:numRef>
          </c:val>
        </c:ser>
        <c:ser>
          <c:idx val="17"/>
          <c:order val="17"/>
          <c:tx>
            <c:strRef>
              <c:f>'HA 95-13'!$S$1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95-13'!$S$2:$S$15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5324</c:v>
                </c:pt>
                <c:pt idx="5">
                  <c:v>6143</c:v>
                </c:pt>
                <c:pt idx="6">
                  <c:v>564</c:v>
                </c:pt>
                <c:pt idx="7">
                  <c:v>12261</c:v>
                </c:pt>
                <c:pt idx="8">
                  <c:v>10116</c:v>
                </c:pt>
                <c:pt idx="9">
                  <c:v>8404</c:v>
                </c:pt>
                <c:pt idx="10">
                  <c:v>4993</c:v>
                </c:pt>
                <c:pt idx="11">
                  <c:v>255</c:v>
                </c:pt>
                <c:pt idx="12">
                  <c:v>17</c:v>
                </c:pt>
                <c:pt idx="13">
                  <c:v>0</c:v>
                </c:pt>
              </c:numCache>
            </c:numRef>
          </c:val>
        </c:ser>
        <c:ser>
          <c:idx val="18"/>
          <c:order val="18"/>
          <c:tx>
            <c:strRef>
              <c:f>'HA 95-13'!$T$1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'HA 95-13'!$A$2:$A$15</c:f>
              <c:strCache>
                <c:ptCount val="14"/>
                <c:pt idx="0">
                  <c:v>AudioPhoenix</c:v>
                </c:pt>
                <c:pt idx="1">
                  <c:v>AudioTek</c:v>
                </c:pt>
                <c:pt idx="2">
                  <c:v>AurisMed</c:v>
                </c:pt>
                <c:pt idx="3">
                  <c:v>Beltone (Philips)</c:v>
                </c:pt>
                <c:pt idx="4">
                  <c:v>Gewa</c:v>
                </c:pt>
                <c:pt idx="5">
                  <c:v>Medisan</c:v>
                </c:pt>
                <c:pt idx="6">
                  <c:v>Medus</c:v>
                </c:pt>
                <c:pt idx="7">
                  <c:v>Oticon</c:v>
                </c:pt>
                <c:pt idx="8">
                  <c:v>Phonak</c:v>
                </c:pt>
                <c:pt idx="9">
                  <c:v>ReSound (Danavox)</c:v>
                </c:pt>
                <c:pt idx="10">
                  <c:v>Siemens (Audiotronics før 2009)</c:v>
                </c:pt>
                <c:pt idx="11">
                  <c:v>Starkey</c:v>
                </c:pt>
                <c:pt idx="12">
                  <c:v>Unitron</c:v>
                </c:pt>
                <c:pt idx="13">
                  <c:v>andre</c:v>
                </c:pt>
              </c:strCache>
            </c:strRef>
          </c:cat>
          <c:val>
            <c:numRef>
              <c:f>'HA 95-13'!$T$2:$T$15</c:f>
              <c:numCache>
                <c:formatCode>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3947</c:v>
                </c:pt>
                <c:pt idx="5">
                  <c:v>10308</c:v>
                </c:pt>
                <c:pt idx="6">
                  <c:v>1402</c:v>
                </c:pt>
                <c:pt idx="7">
                  <c:v>17689</c:v>
                </c:pt>
                <c:pt idx="8">
                  <c:v>12274</c:v>
                </c:pt>
                <c:pt idx="9">
                  <c:v>11162</c:v>
                </c:pt>
                <c:pt idx="10">
                  <c:v>7448</c:v>
                </c:pt>
                <c:pt idx="11">
                  <c:v>1362</c:v>
                </c:pt>
                <c:pt idx="12">
                  <c:v>166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261440"/>
        <c:axId val="161262976"/>
      </c:barChart>
      <c:catAx>
        <c:axId val="1612614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126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26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612614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4270408545673645"/>
          <c:y val="5.2926937220980621E-3"/>
          <c:w val="4.0136984758946809E-2"/>
          <c:h val="0.75260885652319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Totalt antall NAV-apparater pr år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95-13'!$B$16:$T$16</c:f>
              <c:numCache>
                <c:formatCode>#,##0</c:formatCode>
                <c:ptCount val="19"/>
                <c:pt idx="0">
                  <c:v>33913</c:v>
                </c:pt>
                <c:pt idx="1">
                  <c:v>32952</c:v>
                </c:pt>
                <c:pt idx="2">
                  <c:v>34735</c:v>
                </c:pt>
                <c:pt idx="3">
                  <c:v>39778</c:v>
                </c:pt>
                <c:pt idx="4">
                  <c:v>43668</c:v>
                </c:pt>
                <c:pt idx="5">
                  <c:v>50083</c:v>
                </c:pt>
                <c:pt idx="6">
                  <c:v>33671</c:v>
                </c:pt>
                <c:pt idx="7">
                  <c:v>34885</c:v>
                </c:pt>
                <c:pt idx="8">
                  <c:v>50449</c:v>
                </c:pt>
                <c:pt idx="9">
                  <c:v>56116</c:v>
                </c:pt>
                <c:pt idx="10">
                  <c:v>60578</c:v>
                </c:pt>
                <c:pt idx="11">
                  <c:v>58395</c:v>
                </c:pt>
                <c:pt idx="12">
                  <c:v>67712</c:v>
                </c:pt>
                <c:pt idx="13">
                  <c:v>67528</c:v>
                </c:pt>
                <c:pt idx="14">
                  <c:v>65369</c:v>
                </c:pt>
                <c:pt idx="15">
                  <c:v>89575</c:v>
                </c:pt>
                <c:pt idx="16">
                  <c:v>73723</c:v>
                </c:pt>
                <c:pt idx="17">
                  <c:v>48077</c:v>
                </c:pt>
                <c:pt idx="18">
                  <c:v>65758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440512"/>
        <c:axId val="165501952"/>
      </c:barChart>
      <c:catAx>
        <c:axId val="165440512"/>
        <c:scaling>
          <c:orientation val="minMax"/>
        </c:scaling>
        <c:delete val="0"/>
        <c:axPos val="b"/>
        <c:majorTickMark val="out"/>
        <c:minorTickMark val="none"/>
        <c:tickLblPos val="nextTo"/>
        <c:crossAx val="165501952"/>
        <c:crosses val="autoZero"/>
        <c:auto val="1"/>
        <c:lblAlgn val="ctr"/>
        <c:lblOffset val="100"/>
        <c:noMultiLvlLbl val="0"/>
      </c:catAx>
      <c:valAx>
        <c:axId val="1655019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65440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952370239434358E-2"/>
          <c:y val="4.4262527687230976E-2"/>
          <c:w val="0.80051484830506048"/>
          <c:h val="0.85586379138016766"/>
        </c:manualLayout>
      </c:layout>
      <c:areaChart>
        <c:grouping val="percentStacked"/>
        <c:varyColors val="0"/>
        <c:ser>
          <c:idx val="0"/>
          <c:order val="0"/>
          <c:tx>
            <c:strRef>
              <c:f>'HA 95-13'!$A$2</c:f>
              <c:strCache>
                <c:ptCount val="1"/>
                <c:pt idx="0">
                  <c:v>AudioPhoenix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95-13'!$B$2:$T$2</c:f>
              <c:numCache>
                <c:formatCode>#,##0</c:formatCode>
                <c:ptCount val="19"/>
                <c:pt idx="8">
                  <c:v>99</c:v>
                </c:pt>
                <c:pt idx="9">
                  <c:v>287</c:v>
                </c:pt>
                <c:pt idx="10">
                  <c:v>262</c:v>
                </c:pt>
                <c:pt idx="11">
                  <c:v>487</c:v>
                </c:pt>
                <c:pt idx="12">
                  <c:v>352</c:v>
                </c:pt>
                <c:pt idx="13">
                  <c:v>374</c:v>
                </c:pt>
                <c:pt idx="14">
                  <c:v>267</c:v>
                </c:pt>
                <c:pt idx="15">
                  <c:v>43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1"/>
          <c:order val="1"/>
          <c:tx>
            <c:strRef>
              <c:f>'HA 95-13'!$A$3</c:f>
              <c:strCache>
                <c:ptCount val="1"/>
                <c:pt idx="0">
                  <c:v>AudioTek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95-13'!$B$3:$T$3</c:f>
              <c:numCache>
                <c:formatCode>#,##0</c:formatCode>
                <c:ptCount val="19"/>
                <c:pt idx="0">
                  <c:v>0</c:v>
                </c:pt>
                <c:pt idx="1">
                  <c:v>200</c:v>
                </c:pt>
                <c:pt idx="2">
                  <c:v>470</c:v>
                </c:pt>
                <c:pt idx="3">
                  <c:v>626</c:v>
                </c:pt>
                <c:pt idx="4">
                  <c:v>1529</c:v>
                </c:pt>
                <c:pt idx="5">
                  <c:v>2994</c:v>
                </c:pt>
                <c:pt idx="6">
                  <c:v>3383</c:v>
                </c:pt>
                <c:pt idx="7">
                  <c:v>2143</c:v>
                </c:pt>
                <c:pt idx="8">
                  <c:v>386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2"/>
          <c:order val="2"/>
          <c:tx>
            <c:strRef>
              <c:f>'HA 95-13'!$A$12</c:f>
              <c:strCache>
                <c:ptCount val="1"/>
                <c:pt idx="0">
                  <c:v>Siemens (Audiotronics før 2009)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95-13'!$B$12:$T$12</c:f>
              <c:numCache>
                <c:formatCode>#,##0</c:formatCode>
                <c:ptCount val="19"/>
                <c:pt idx="0">
                  <c:v>2627</c:v>
                </c:pt>
                <c:pt idx="1">
                  <c:v>2648</c:v>
                </c:pt>
                <c:pt idx="2">
                  <c:v>2193</c:v>
                </c:pt>
                <c:pt idx="3">
                  <c:v>2228</c:v>
                </c:pt>
                <c:pt idx="4">
                  <c:v>2158</c:v>
                </c:pt>
                <c:pt idx="5">
                  <c:v>2955</c:v>
                </c:pt>
                <c:pt idx="6">
                  <c:v>3518</c:v>
                </c:pt>
                <c:pt idx="7">
                  <c:v>4110</c:v>
                </c:pt>
                <c:pt idx="8">
                  <c:v>4190</c:v>
                </c:pt>
                <c:pt idx="9">
                  <c:v>3772</c:v>
                </c:pt>
                <c:pt idx="10">
                  <c:v>3823</c:v>
                </c:pt>
                <c:pt idx="11">
                  <c:v>4494</c:v>
                </c:pt>
                <c:pt idx="12">
                  <c:v>5361</c:v>
                </c:pt>
                <c:pt idx="13">
                  <c:v>4752</c:v>
                </c:pt>
                <c:pt idx="14">
                  <c:v>4797</c:v>
                </c:pt>
                <c:pt idx="15">
                  <c:v>8948</c:v>
                </c:pt>
                <c:pt idx="16">
                  <c:v>9656</c:v>
                </c:pt>
                <c:pt idx="17">
                  <c:v>4993</c:v>
                </c:pt>
                <c:pt idx="18">
                  <c:v>7448</c:v>
                </c:pt>
              </c:numCache>
            </c:numRef>
          </c:val>
        </c:ser>
        <c:ser>
          <c:idx val="3"/>
          <c:order val="3"/>
          <c:tx>
            <c:strRef>
              <c:f>'HA 95-13'!$A$4</c:f>
              <c:strCache>
                <c:ptCount val="1"/>
                <c:pt idx="0">
                  <c:v>AurisMed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95-13'!$B$4:$T$4</c:f>
              <c:numCache>
                <c:formatCode>#,##0</c:formatCode>
                <c:ptCount val="19"/>
                <c:pt idx="0">
                  <c:v>2128</c:v>
                </c:pt>
                <c:pt idx="1">
                  <c:v>2234</c:v>
                </c:pt>
                <c:pt idx="2">
                  <c:v>1556</c:v>
                </c:pt>
                <c:pt idx="3">
                  <c:v>1532</c:v>
                </c:pt>
                <c:pt idx="4">
                  <c:v>1470</c:v>
                </c:pt>
                <c:pt idx="5">
                  <c:v>1324</c:v>
                </c:pt>
                <c:pt idx="6">
                  <c:v>992</c:v>
                </c:pt>
                <c:pt idx="7">
                  <c:v>880</c:v>
                </c:pt>
                <c:pt idx="8">
                  <c:v>941</c:v>
                </c:pt>
                <c:pt idx="9">
                  <c:v>819</c:v>
                </c:pt>
                <c:pt idx="10">
                  <c:v>1211</c:v>
                </c:pt>
                <c:pt idx="11">
                  <c:v>1346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4"/>
          <c:order val="4"/>
          <c:tx>
            <c:strRef>
              <c:f>'HA 95-13'!$A$5</c:f>
              <c:strCache>
                <c:ptCount val="1"/>
                <c:pt idx="0">
                  <c:v>Beltone (Philips)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95-13'!$B$5:$T$5</c:f>
              <c:numCache>
                <c:formatCode>#,##0</c:formatCode>
                <c:ptCount val="19"/>
                <c:pt idx="0">
                  <c:v>3920</c:v>
                </c:pt>
                <c:pt idx="1">
                  <c:v>4120</c:v>
                </c:pt>
                <c:pt idx="2">
                  <c:v>2912</c:v>
                </c:pt>
                <c:pt idx="3">
                  <c:v>2230</c:v>
                </c:pt>
                <c:pt idx="4">
                  <c:v>1921</c:v>
                </c:pt>
                <c:pt idx="5">
                  <c:v>3955</c:v>
                </c:pt>
                <c:pt idx="6">
                  <c:v>2737</c:v>
                </c:pt>
                <c:pt idx="7">
                  <c:v>1431</c:v>
                </c:pt>
                <c:pt idx="8">
                  <c:v>1631</c:v>
                </c:pt>
                <c:pt idx="9">
                  <c:v>1847</c:v>
                </c:pt>
                <c:pt idx="10">
                  <c:v>2608</c:v>
                </c:pt>
                <c:pt idx="11">
                  <c:v>2442</c:v>
                </c:pt>
                <c:pt idx="12">
                  <c:v>2844</c:v>
                </c:pt>
                <c:pt idx="13">
                  <c:v>1608</c:v>
                </c:pt>
                <c:pt idx="14">
                  <c:v>1495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5"/>
          <c:order val="5"/>
          <c:tx>
            <c:strRef>
              <c:f>'HA 95-13'!$A$6</c:f>
              <c:strCache>
                <c:ptCount val="1"/>
                <c:pt idx="0">
                  <c:v>Gewa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95-13'!$B$6:$T$6</c:f>
              <c:numCache>
                <c:formatCode>#,##0</c:formatCode>
                <c:ptCount val="19"/>
                <c:pt idx="0">
                  <c:v>794</c:v>
                </c:pt>
                <c:pt idx="1">
                  <c:v>395</c:v>
                </c:pt>
                <c:pt idx="2">
                  <c:v>353</c:v>
                </c:pt>
                <c:pt idx="3">
                  <c:v>1130</c:v>
                </c:pt>
                <c:pt idx="4">
                  <c:v>1501</c:v>
                </c:pt>
                <c:pt idx="5">
                  <c:v>1672</c:v>
                </c:pt>
                <c:pt idx="6">
                  <c:v>2378</c:v>
                </c:pt>
                <c:pt idx="7">
                  <c:v>1737</c:v>
                </c:pt>
                <c:pt idx="8">
                  <c:v>1755</c:v>
                </c:pt>
                <c:pt idx="9">
                  <c:v>2165</c:v>
                </c:pt>
                <c:pt idx="10">
                  <c:v>3181</c:v>
                </c:pt>
                <c:pt idx="11">
                  <c:v>3074</c:v>
                </c:pt>
                <c:pt idx="12">
                  <c:v>3861</c:v>
                </c:pt>
                <c:pt idx="13">
                  <c:v>2836</c:v>
                </c:pt>
                <c:pt idx="14">
                  <c:v>1910</c:v>
                </c:pt>
                <c:pt idx="15">
                  <c:v>3060</c:v>
                </c:pt>
                <c:pt idx="16">
                  <c:v>2892</c:v>
                </c:pt>
                <c:pt idx="17">
                  <c:v>5324</c:v>
                </c:pt>
                <c:pt idx="18">
                  <c:v>3947</c:v>
                </c:pt>
              </c:numCache>
            </c:numRef>
          </c:val>
        </c:ser>
        <c:ser>
          <c:idx val="6"/>
          <c:order val="6"/>
          <c:tx>
            <c:strRef>
              <c:f>'HA 95-13'!$A$7</c:f>
              <c:strCache>
                <c:ptCount val="1"/>
                <c:pt idx="0">
                  <c:v>Medisan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95-13'!$B$7:$T$7</c:f>
              <c:numCache>
                <c:formatCode>#,##0</c:formatCode>
                <c:ptCount val="19"/>
                <c:pt idx="0">
                  <c:v>5077</c:v>
                </c:pt>
                <c:pt idx="1">
                  <c:v>5298</c:v>
                </c:pt>
                <c:pt idx="2">
                  <c:v>9329</c:v>
                </c:pt>
                <c:pt idx="3">
                  <c:v>11886</c:v>
                </c:pt>
                <c:pt idx="4">
                  <c:v>12780</c:v>
                </c:pt>
                <c:pt idx="5">
                  <c:v>14000</c:v>
                </c:pt>
                <c:pt idx="6">
                  <c:v>9936</c:v>
                </c:pt>
                <c:pt idx="7">
                  <c:v>8458</c:v>
                </c:pt>
                <c:pt idx="8">
                  <c:v>8659</c:v>
                </c:pt>
                <c:pt idx="9">
                  <c:v>11109</c:v>
                </c:pt>
                <c:pt idx="10">
                  <c:v>10867</c:v>
                </c:pt>
                <c:pt idx="11">
                  <c:v>8400</c:v>
                </c:pt>
                <c:pt idx="12">
                  <c:v>12124</c:v>
                </c:pt>
                <c:pt idx="13">
                  <c:v>12901</c:v>
                </c:pt>
                <c:pt idx="14">
                  <c:v>11085</c:v>
                </c:pt>
                <c:pt idx="15">
                  <c:v>10891</c:v>
                </c:pt>
                <c:pt idx="16">
                  <c:v>9156</c:v>
                </c:pt>
                <c:pt idx="17">
                  <c:v>6143</c:v>
                </c:pt>
                <c:pt idx="18">
                  <c:v>10308</c:v>
                </c:pt>
              </c:numCache>
            </c:numRef>
          </c:val>
        </c:ser>
        <c:ser>
          <c:idx val="7"/>
          <c:order val="7"/>
          <c:tx>
            <c:strRef>
              <c:f>'HA 95-13'!$A$8</c:f>
              <c:strCache>
                <c:ptCount val="1"/>
                <c:pt idx="0">
                  <c:v>Medus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95-13'!$B$8:$T$8</c:f>
              <c:numCache>
                <c:formatCode>#,##0</c:formatCode>
                <c:ptCount val="19"/>
                <c:pt idx="6">
                  <c:v>232</c:v>
                </c:pt>
                <c:pt idx="7">
                  <c:v>293</c:v>
                </c:pt>
                <c:pt idx="8">
                  <c:v>457</c:v>
                </c:pt>
                <c:pt idx="9">
                  <c:v>1237</c:v>
                </c:pt>
                <c:pt idx="10">
                  <c:v>1682</c:v>
                </c:pt>
                <c:pt idx="11">
                  <c:v>909</c:v>
                </c:pt>
                <c:pt idx="12">
                  <c:v>1599</c:v>
                </c:pt>
                <c:pt idx="13">
                  <c:v>1305</c:v>
                </c:pt>
                <c:pt idx="14">
                  <c:v>1292</c:v>
                </c:pt>
                <c:pt idx="15">
                  <c:v>1649</c:v>
                </c:pt>
                <c:pt idx="16">
                  <c:v>1120</c:v>
                </c:pt>
                <c:pt idx="17">
                  <c:v>564</c:v>
                </c:pt>
                <c:pt idx="18">
                  <c:v>1402</c:v>
                </c:pt>
              </c:numCache>
            </c:numRef>
          </c:val>
        </c:ser>
        <c:ser>
          <c:idx val="8"/>
          <c:order val="8"/>
          <c:tx>
            <c:strRef>
              <c:f>'HA 95-13'!$A$9</c:f>
              <c:strCache>
                <c:ptCount val="1"/>
                <c:pt idx="0">
                  <c:v>Oticon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95-13'!$B$9:$T$9</c:f>
              <c:numCache>
                <c:formatCode>#,##0</c:formatCode>
                <c:ptCount val="19"/>
                <c:pt idx="0">
                  <c:v>5535</c:v>
                </c:pt>
                <c:pt idx="1">
                  <c:v>5032</c:v>
                </c:pt>
                <c:pt idx="2">
                  <c:v>5359</c:v>
                </c:pt>
                <c:pt idx="3">
                  <c:v>9368</c:v>
                </c:pt>
                <c:pt idx="4">
                  <c:v>10584</c:v>
                </c:pt>
                <c:pt idx="5">
                  <c:v>10346</c:v>
                </c:pt>
                <c:pt idx="6">
                  <c:v>9345</c:v>
                </c:pt>
                <c:pt idx="7">
                  <c:v>14962</c:v>
                </c:pt>
                <c:pt idx="8">
                  <c:v>14643</c:v>
                </c:pt>
                <c:pt idx="9">
                  <c:v>14990</c:v>
                </c:pt>
                <c:pt idx="10">
                  <c:v>16834</c:v>
                </c:pt>
                <c:pt idx="11">
                  <c:v>15376</c:v>
                </c:pt>
                <c:pt idx="12">
                  <c:v>14752</c:v>
                </c:pt>
                <c:pt idx="13">
                  <c:v>14756</c:v>
                </c:pt>
                <c:pt idx="14">
                  <c:v>15947</c:v>
                </c:pt>
                <c:pt idx="15">
                  <c:v>26517</c:v>
                </c:pt>
                <c:pt idx="16">
                  <c:v>23389</c:v>
                </c:pt>
                <c:pt idx="17">
                  <c:v>12261</c:v>
                </c:pt>
                <c:pt idx="18">
                  <c:v>17689</c:v>
                </c:pt>
              </c:numCache>
            </c:numRef>
          </c:val>
        </c:ser>
        <c:ser>
          <c:idx val="9"/>
          <c:order val="9"/>
          <c:tx>
            <c:strRef>
              <c:f>'HA 95-13'!$A$10</c:f>
              <c:strCache>
                <c:ptCount val="1"/>
                <c:pt idx="0">
                  <c:v>Phonak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95-13'!$B$10:$T$10</c:f>
              <c:numCache>
                <c:formatCode>#,##0</c:formatCode>
                <c:ptCount val="19"/>
                <c:pt idx="0">
                  <c:v>2550</c:v>
                </c:pt>
                <c:pt idx="1">
                  <c:v>2213</c:v>
                </c:pt>
                <c:pt idx="2">
                  <c:v>1731</c:v>
                </c:pt>
                <c:pt idx="3">
                  <c:v>2179</c:v>
                </c:pt>
                <c:pt idx="4">
                  <c:v>2655</c:v>
                </c:pt>
                <c:pt idx="5">
                  <c:v>3630</c:v>
                </c:pt>
                <c:pt idx="6">
                  <c:v>4668</c:v>
                </c:pt>
                <c:pt idx="7">
                  <c:v>4981</c:v>
                </c:pt>
                <c:pt idx="8">
                  <c:v>5846</c:v>
                </c:pt>
                <c:pt idx="9">
                  <c:v>4638</c:v>
                </c:pt>
                <c:pt idx="10">
                  <c:v>4960</c:v>
                </c:pt>
                <c:pt idx="11">
                  <c:v>7921</c:v>
                </c:pt>
                <c:pt idx="12">
                  <c:v>9412</c:v>
                </c:pt>
                <c:pt idx="13">
                  <c:v>10433</c:v>
                </c:pt>
                <c:pt idx="14">
                  <c:v>10712</c:v>
                </c:pt>
                <c:pt idx="15">
                  <c:v>18232</c:v>
                </c:pt>
                <c:pt idx="16">
                  <c:v>15487</c:v>
                </c:pt>
                <c:pt idx="17">
                  <c:v>10116</c:v>
                </c:pt>
                <c:pt idx="18">
                  <c:v>12274</c:v>
                </c:pt>
              </c:numCache>
            </c:numRef>
          </c:val>
        </c:ser>
        <c:ser>
          <c:idx val="10"/>
          <c:order val="10"/>
          <c:tx>
            <c:strRef>
              <c:f>'HA 95-13'!$A$11</c:f>
              <c:strCache>
                <c:ptCount val="1"/>
                <c:pt idx="0">
                  <c:v>ReSound (Danavox)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95-13'!$B$11:$T$11</c:f>
              <c:numCache>
                <c:formatCode>#,##0</c:formatCode>
                <c:ptCount val="19"/>
                <c:pt idx="0">
                  <c:v>10313</c:v>
                </c:pt>
                <c:pt idx="1">
                  <c:v>7526</c:v>
                </c:pt>
                <c:pt idx="2">
                  <c:v>5870</c:v>
                </c:pt>
                <c:pt idx="3">
                  <c:v>3831</c:v>
                </c:pt>
                <c:pt idx="4">
                  <c:v>4879</c:v>
                </c:pt>
                <c:pt idx="5">
                  <c:v>5252</c:v>
                </c:pt>
                <c:pt idx="6">
                  <c:v>5966</c:v>
                </c:pt>
                <c:pt idx="7">
                  <c:v>5911</c:v>
                </c:pt>
                <c:pt idx="8">
                  <c:v>7518</c:v>
                </c:pt>
                <c:pt idx="9">
                  <c:v>11581</c:v>
                </c:pt>
                <c:pt idx="10">
                  <c:v>12076</c:v>
                </c:pt>
                <c:pt idx="11">
                  <c:v>10921</c:v>
                </c:pt>
                <c:pt idx="12">
                  <c:v>11752</c:v>
                </c:pt>
                <c:pt idx="13">
                  <c:v>12197</c:v>
                </c:pt>
                <c:pt idx="14">
                  <c:v>13557</c:v>
                </c:pt>
                <c:pt idx="15">
                  <c:v>17458</c:v>
                </c:pt>
                <c:pt idx="16">
                  <c:v>11776</c:v>
                </c:pt>
                <c:pt idx="17">
                  <c:v>8404</c:v>
                </c:pt>
                <c:pt idx="18">
                  <c:v>11162</c:v>
                </c:pt>
              </c:numCache>
            </c:numRef>
          </c:val>
        </c:ser>
        <c:ser>
          <c:idx val="12"/>
          <c:order val="11"/>
          <c:tx>
            <c:strRef>
              <c:f>'HA 95-13'!$A$13</c:f>
              <c:strCache>
                <c:ptCount val="1"/>
                <c:pt idx="0">
                  <c:v>Starkey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95-13'!$B$13:$T$13</c:f>
              <c:numCache>
                <c:formatCode>#,##0</c:formatCode>
                <c:ptCount val="19"/>
                <c:pt idx="0">
                  <c:v>361</c:v>
                </c:pt>
                <c:pt idx="1">
                  <c:v>3030</c:v>
                </c:pt>
                <c:pt idx="2">
                  <c:v>4962</c:v>
                </c:pt>
                <c:pt idx="3">
                  <c:v>4768</c:v>
                </c:pt>
                <c:pt idx="4">
                  <c:v>4191</c:v>
                </c:pt>
                <c:pt idx="5">
                  <c:v>3955</c:v>
                </c:pt>
                <c:pt idx="6">
                  <c:v>6137</c:v>
                </c:pt>
                <c:pt idx="7">
                  <c:v>4991</c:v>
                </c:pt>
                <c:pt idx="8">
                  <c:v>4200</c:v>
                </c:pt>
                <c:pt idx="9">
                  <c:v>3024</c:v>
                </c:pt>
                <c:pt idx="10">
                  <c:v>2606</c:v>
                </c:pt>
                <c:pt idx="11">
                  <c:v>2273</c:v>
                </c:pt>
                <c:pt idx="12">
                  <c:v>3804</c:v>
                </c:pt>
                <c:pt idx="13">
                  <c:v>3720</c:v>
                </c:pt>
                <c:pt idx="14">
                  <c:v>2840</c:v>
                </c:pt>
                <c:pt idx="15">
                  <c:v>1388</c:v>
                </c:pt>
                <c:pt idx="16">
                  <c:v>180</c:v>
                </c:pt>
                <c:pt idx="17">
                  <c:v>255</c:v>
                </c:pt>
                <c:pt idx="18">
                  <c:v>1362</c:v>
                </c:pt>
              </c:numCache>
            </c:numRef>
          </c:val>
        </c:ser>
        <c:ser>
          <c:idx val="13"/>
          <c:order val="12"/>
          <c:tx>
            <c:strRef>
              <c:f>'HA 95-13'!$A$14</c:f>
              <c:strCache>
                <c:ptCount val="1"/>
                <c:pt idx="0">
                  <c:v>Unitron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95-13'!$B$14:$T$14</c:f>
              <c:numCache>
                <c:formatCode>#,##0</c:formatCode>
                <c:ptCount val="19"/>
                <c:pt idx="11">
                  <c:v>443</c:v>
                </c:pt>
                <c:pt idx="12" formatCode="General">
                  <c:v>1614</c:v>
                </c:pt>
                <c:pt idx="13">
                  <c:v>2157</c:v>
                </c:pt>
                <c:pt idx="14">
                  <c:v>1251</c:v>
                </c:pt>
                <c:pt idx="15">
                  <c:v>1389</c:v>
                </c:pt>
                <c:pt idx="16">
                  <c:v>67</c:v>
                </c:pt>
                <c:pt idx="17">
                  <c:v>17</c:v>
                </c:pt>
                <c:pt idx="18">
                  <c:v>166</c:v>
                </c:pt>
              </c:numCache>
            </c:numRef>
          </c:val>
        </c:ser>
        <c:ser>
          <c:idx val="14"/>
          <c:order val="13"/>
          <c:tx>
            <c:strRef>
              <c:f>'HA 95-13'!$A$15</c:f>
              <c:strCache>
                <c:ptCount val="1"/>
                <c:pt idx="0">
                  <c:v>andre</c:v>
                </c:pt>
              </c:strCache>
            </c:strRef>
          </c:tx>
          <c:cat>
            <c:strRef>
              <c:f>'HA 95-13'!$B$1:$T$1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'HA 95-13'!$B$15:$T$15</c:f>
              <c:numCache>
                <c:formatCode>#,##0</c:formatCode>
                <c:ptCount val="19"/>
                <c:pt idx="0">
                  <c:v>608</c:v>
                </c:pt>
                <c:pt idx="1">
                  <c:v>256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124</c:v>
                </c:pt>
                <c:pt idx="9">
                  <c:v>647</c:v>
                </c:pt>
                <c:pt idx="10">
                  <c:v>468</c:v>
                </c:pt>
                <c:pt idx="11">
                  <c:v>309</c:v>
                </c:pt>
                <c:pt idx="12">
                  <c:v>237</c:v>
                </c:pt>
                <c:pt idx="13" formatCode="General">
                  <c:v>489</c:v>
                </c:pt>
                <c:pt idx="14" formatCode="General">
                  <c:v>216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330560"/>
        <c:axId val="123332096"/>
      </c:areaChart>
      <c:catAx>
        <c:axId val="123330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23332096"/>
        <c:crosses val="autoZero"/>
        <c:auto val="1"/>
        <c:lblAlgn val="ctr"/>
        <c:lblOffset val="100"/>
        <c:noMultiLvlLbl val="0"/>
      </c:catAx>
      <c:valAx>
        <c:axId val="1233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33305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276072976104891"/>
          <c:y val="0"/>
          <c:w val="0.10744336355260468"/>
          <c:h val="0.9599045376201651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429</xdr:row>
      <xdr:rowOff>114300</xdr:rowOff>
    </xdr:from>
    <xdr:to>
      <xdr:col>10</xdr:col>
      <xdr:colOff>0</xdr:colOff>
      <xdr:row>447</xdr:row>
      <xdr:rowOff>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457</xdr:row>
      <xdr:rowOff>38100</xdr:rowOff>
    </xdr:from>
    <xdr:to>
      <xdr:col>12</xdr:col>
      <xdr:colOff>390525</xdr:colOff>
      <xdr:row>475</xdr:row>
      <xdr:rowOff>123825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30</xdr:row>
      <xdr:rowOff>114300</xdr:rowOff>
    </xdr:from>
    <xdr:to>
      <xdr:col>10</xdr:col>
      <xdr:colOff>0</xdr:colOff>
      <xdr:row>48</xdr:row>
      <xdr:rowOff>0</xdr:rowOff>
    </xdr:to>
    <xdr:graphicFrame macro="">
      <xdr:nvGraphicFramePr>
        <xdr:cNvPr id="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56</xdr:row>
      <xdr:rowOff>38100</xdr:rowOff>
    </xdr:from>
    <xdr:to>
      <xdr:col>12</xdr:col>
      <xdr:colOff>390525</xdr:colOff>
      <xdr:row>74</xdr:row>
      <xdr:rowOff>123825</xdr:rowOff>
    </xdr:to>
    <xdr:graphicFrame macro="">
      <xdr:nvGraphicFramePr>
        <xdr:cNvPr id="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133</xdr:row>
      <xdr:rowOff>62441</xdr:rowOff>
    </xdr:from>
    <xdr:to>
      <xdr:col>12</xdr:col>
      <xdr:colOff>1</xdr:colOff>
      <xdr:row>158</xdr:row>
      <xdr:rowOff>17991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36</xdr:row>
      <xdr:rowOff>57150</xdr:rowOff>
    </xdr:from>
    <xdr:to>
      <xdr:col>20</xdr:col>
      <xdr:colOff>21167</xdr:colOff>
      <xdr:row>65</xdr:row>
      <xdr:rowOff>28575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31749</xdr:colOff>
      <xdr:row>107</xdr:row>
      <xdr:rowOff>157692</xdr:rowOff>
    </xdr:from>
    <xdr:to>
      <xdr:col>12</xdr:col>
      <xdr:colOff>10582</xdr:colOff>
      <xdr:row>132</xdr:row>
      <xdr:rowOff>127000</xdr:rowOff>
    </xdr:to>
    <xdr:graphicFrame macro="">
      <xdr:nvGraphicFramePr>
        <xdr:cNvPr id="4" name="Diagram 3" title="Totalt antall NAV-apparater pr år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21167</xdr:colOff>
      <xdr:row>65</xdr:row>
      <xdr:rowOff>52914</xdr:rowOff>
    </xdr:from>
    <xdr:to>
      <xdr:col>11</xdr:col>
      <xdr:colOff>603250</xdr:colOff>
      <xdr:row>107</xdr:row>
      <xdr:rowOff>95249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9/F2960/Felles%20Filer/A%20&amp;%20FJ/02%20Ansk%20brukere/09%20Hjelpemidler/Produktomr&#229;der/08_H&#248;reapp_tinmask/Statistikk/2010/Stat%20happ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9/F2960/Felles%20Filer/A%20&amp;%20FJ/02%20Ansk%20brukere/09%20Hjelpemidler/Produktomr&#229;der/08_H&#248;reapp_tinmask/Y%2009-4972_Ny%20midd%20og%20avans/18%20Statistikk/2008/stat%20happ%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2821_&#216;K/Gruppe20/Anskaffelse%20hjelpemidler/Produktomr&#229;der/08_H&#248;reapp_tinmask/Statistikk/2011/Stat%20happ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øreapparat"/>
      <sheetName val="Maskerere"/>
      <sheetName val="Reparasjoner"/>
      <sheetName val="Propper"/>
      <sheetName val="HA 95-10"/>
      <sheetName val="Kostna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øreapparat"/>
      <sheetName val="Maskerere"/>
      <sheetName val="Reparasjoner"/>
      <sheetName val="Propper"/>
      <sheetName val="HA 95-08"/>
      <sheetName val="Kostnad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øreapparat"/>
      <sheetName val="Maskerere"/>
      <sheetName val="Reparasjoner"/>
      <sheetName val="Propper"/>
      <sheetName val="HA 95-10"/>
    </sheetNames>
    <sheetDataSet>
      <sheetData sheetId="0">
        <row r="404">
          <cell r="E404">
            <v>4952</v>
          </cell>
        </row>
      </sheetData>
      <sheetData sheetId="1" refreshError="1"/>
      <sheetData sheetId="2" refreshError="1"/>
      <sheetData sheetId="3" refreshError="1"/>
      <sheetData sheetId="4">
        <row r="1">
          <cell r="B1" t="str">
            <v>1995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02"/>
  <sheetViews>
    <sheetView zoomScaleNormal="100" workbookViewId="0">
      <pane xSplit="5" ySplit="2" topLeftCell="K367" activePane="bottomRight" state="frozen"/>
      <selection pane="topRight" activeCell="E1" sqref="E1"/>
      <selection pane="bottomLeft" activeCell="A3" sqref="A3"/>
      <selection pane="bottomRight" activeCell="R417" sqref="R417"/>
    </sheetView>
  </sheetViews>
  <sheetFormatPr baseColWidth="10" defaultColWidth="9.140625" defaultRowHeight="10.5" outlineLevelRow="2" x14ac:dyDescent="0.15"/>
  <cols>
    <col min="1" max="1" width="4.140625" style="63" customWidth="1"/>
    <col min="2" max="2" width="4.140625" style="55" customWidth="1"/>
    <col min="3" max="3" width="7.7109375" style="55" customWidth="1"/>
    <col min="4" max="4" width="27.85546875" style="55" customWidth="1"/>
    <col min="5" max="5" width="7" style="161" customWidth="1"/>
    <col min="6" max="7" width="6.5703125" style="56" customWidth="1"/>
    <col min="8" max="8" width="4.7109375" style="56" customWidth="1"/>
    <col min="9" max="9" width="8.28515625" style="31" customWidth="1"/>
    <col min="10" max="10" width="7.7109375" style="35" customWidth="1"/>
    <col min="11" max="11" width="8" style="35" customWidth="1"/>
    <col min="12" max="12" width="7.85546875" style="35" customWidth="1"/>
    <col min="13" max="13" width="8.7109375" style="64" customWidth="1"/>
    <col min="14" max="15" width="8.7109375" style="57" hidden="1" customWidth="1"/>
    <col min="16" max="16" width="8.42578125" style="57" hidden="1" customWidth="1"/>
    <col min="17" max="17" width="8.7109375" style="57" customWidth="1"/>
    <col min="18" max="18" width="9.28515625" style="57" customWidth="1"/>
    <col min="19" max="19" width="9.42578125" style="57" customWidth="1"/>
    <col min="20" max="20" width="9.85546875" style="57" customWidth="1"/>
    <col min="21" max="22" width="8.7109375" style="57" customWidth="1"/>
    <col min="23" max="23" width="9.42578125" style="31" customWidth="1"/>
    <col min="24" max="24" width="22.42578125" style="31" customWidth="1"/>
    <col min="25" max="25" width="20.5703125" style="232" customWidth="1"/>
    <col min="26" max="26" width="4.5703125" style="31" hidden="1" customWidth="1"/>
    <col min="27" max="16384" width="9.140625" style="31"/>
  </cols>
  <sheetData>
    <row r="1" spans="1:28" s="355" customFormat="1" x14ac:dyDescent="0.15">
      <c r="A1" s="350" t="s">
        <v>153</v>
      </c>
      <c r="B1" s="351" t="s">
        <v>6</v>
      </c>
      <c r="C1" s="351" t="s">
        <v>163</v>
      </c>
      <c r="D1" s="351" t="s">
        <v>7</v>
      </c>
      <c r="E1" s="352" t="s">
        <v>8</v>
      </c>
      <c r="F1" s="353" t="s">
        <v>105</v>
      </c>
      <c r="G1" s="353" t="s">
        <v>135</v>
      </c>
      <c r="H1" s="353" t="s">
        <v>154</v>
      </c>
      <c r="I1" s="355" t="s">
        <v>9</v>
      </c>
      <c r="J1" s="355" t="s">
        <v>10</v>
      </c>
      <c r="K1" s="355" t="s">
        <v>11</v>
      </c>
      <c r="L1" s="355" t="s">
        <v>12</v>
      </c>
      <c r="M1" s="356" t="s">
        <v>13</v>
      </c>
      <c r="N1" s="80" t="s">
        <v>44</v>
      </c>
      <c r="O1" s="80" t="s">
        <v>53</v>
      </c>
      <c r="P1" s="80" t="s">
        <v>56</v>
      </c>
      <c r="Q1" s="80" t="s">
        <v>57</v>
      </c>
      <c r="R1" s="80" t="s">
        <v>32</v>
      </c>
      <c r="S1" s="357" t="s">
        <v>58</v>
      </c>
      <c r="T1" s="357" t="s">
        <v>59</v>
      </c>
      <c r="U1" s="357" t="s">
        <v>60</v>
      </c>
      <c r="V1" s="357" t="s">
        <v>61</v>
      </c>
      <c r="W1" s="80" t="s">
        <v>48</v>
      </c>
      <c r="X1" s="399" t="s">
        <v>62</v>
      </c>
      <c r="Y1" s="400"/>
      <c r="Z1" s="31">
        <v>1</v>
      </c>
      <c r="AB1" s="31"/>
    </row>
    <row r="2" spans="1:28" s="405" customFormat="1" hidden="1" outlineLevel="2" x14ac:dyDescent="0.15">
      <c r="A2" s="401"/>
      <c r="B2" s="402"/>
      <c r="C2" s="402"/>
      <c r="D2" s="402"/>
      <c r="E2" s="403"/>
      <c r="F2" s="404"/>
      <c r="G2" s="404"/>
      <c r="H2" s="404" t="s">
        <v>155</v>
      </c>
      <c r="I2" s="405" t="s">
        <v>14</v>
      </c>
      <c r="J2" s="405" t="s">
        <v>14</v>
      </c>
      <c r="K2" s="405" t="s">
        <v>14</v>
      </c>
      <c r="L2" s="405" t="s">
        <v>14</v>
      </c>
      <c r="M2" s="406" t="s">
        <v>14</v>
      </c>
      <c r="N2" s="81" t="s">
        <v>15</v>
      </c>
      <c r="O2" s="81" t="s">
        <v>15</v>
      </c>
      <c r="P2" s="81" t="s">
        <v>15</v>
      </c>
      <c r="Q2" s="81" t="s">
        <v>15</v>
      </c>
      <c r="R2" s="81" t="s">
        <v>33</v>
      </c>
      <c r="S2" s="407" t="s">
        <v>33</v>
      </c>
      <c r="T2" s="407" t="s">
        <v>33</v>
      </c>
      <c r="U2" s="407" t="s">
        <v>33</v>
      </c>
      <c r="V2" s="407" t="s">
        <v>33</v>
      </c>
      <c r="W2" s="81" t="s">
        <v>33</v>
      </c>
      <c r="X2" s="399"/>
      <c r="Y2" s="400"/>
      <c r="Z2" s="31">
        <v>2</v>
      </c>
      <c r="AA2" s="348"/>
      <c r="AB2" s="31"/>
    </row>
    <row r="3" spans="1:28" hidden="1" outlineLevel="2" x14ac:dyDescent="0.15">
      <c r="D3" s="55" t="s">
        <v>39</v>
      </c>
      <c r="H3" s="238"/>
      <c r="X3" s="55"/>
      <c r="Y3" s="224"/>
      <c r="Z3" s="31">
        <v>3</v>
      </c>
    </row>
    <row r="4" spans="1:28" ht="11.25" hidden="1" outlineLevel="2" x14ac:dyDescent="0.2">
      <c r="D4" s="342" t="s">
        <v>634</v>
      </c>
      <c r="H4" s="238"/>
      <c r="M4" s="35"/>
      <c r="X4" s="55"/>
      <c r="Y4" s="224"/>
    </row>
    <row r="5" spans="1:28" ht="12.75" hidden="1" outlineLevel="2" x14ac:dyDescent="0.2">
      <c r="A5" s="251" t="s">
        <v>380</v>
      </c>
      <c r="B5" s="251" t="s">
        <v>381</v>
      </c>
      <c r="C5" s="251" t="s">
        <v>207</v>
      </c>
      <c r="D5" s="251" t="s">
        <v>208</v>
      </c>
      <c r="E5" s="252" t="s">
        <v>16</v>
      </c>
      <c r="F5" s="253" t="s">
        <v>108</v>
      </c>
      <c r="G5" s="408">
        <v>1</v>
      </c>
      <c r="H5" s="254">
        <v>1</v>
      </c>
      <c r="I5" s="259">
        <v>0</v>
      </c>
      <c r="J5" s="259">
        <v>0</v>
      </c>
      <c r="K5" s="259">
        <v>6</v>
      </c>
      <c r="L5" s="259">
        <v>0</v>
      </c>
      <c r="M5" s="260">
        <f t="shared" ref="M5:M109" si="0">SUM(I5:L5)</f>
        <v>6</v>
      </c>
      <c r="N5" s="255">
        <v>1290</v>
      </c>
      <c r="O5" s="255">
        <v>1290</v>
      </c>
      <c r="P5" s="255">
        <v>1290</v>
      </c>
      <c r="Q5" s="255">
        <v>1290</v>
      </c>
      <c r="R5" s="262">
        <f t="shared" ref="R5:R46" si="1">SUMPRODUCT(I5:L5,N5:Q5)</f>
        <v>7740</v>
      </c>
      <c r="S5" s="269">
        <f t="shared" ref="S5:S46" si="2">IF(N5&gt;prisgrense,I5*prisgrense,I5*N5)</f>
        <v>0</v>
      </c>
      <c r="T5" s="269">
        <f t="shared" ref="T5:T46" si="3">IF(O5&gt;prisgrense,J5*prisgrense,J5*O5)</f>
        <v>0</v>
      </c>
      <c r="U5" s="269">
        <f t="shared" ref="U5:U46" si="4">IF(P5&gt;prisgrense,K5*prisgrense,K5*P5)</f>
        <v>7740</v>
      </c>
      <c r="V5" s="269">
        <f t="shared" ref="V5:V46" si="5">IF(Q5&gt;prisgrense,L5*prisgrense,L5*Q5)</f>
        <v>0</v>
      </c>
      <c r="W5" s="262">
        <f>SUM(S5:V5)</f>
        <v>7740</v>
      </c>
      <c r="X5" s="55" t="s">
        <v>582</v>
      </c>
      <c r="Y5" s="367"/>
      <c r="Z5" s="31">
        <v>4</v>
      </c>
    </row>
    <row r="6" spans="1:28" ht="12.75" hidden="1" outlineLevel="2" x14ac:dyDescent="0.2">
      <c r="A6" s="251" t="s">
        <v>380</v>
      </c>
      <c r="B6" s="251" t="s">
        <v>381</v>
      </c>
      <c r="C6" s="251" t="s">
        <v>207</v>
      </c>
      <c r="D6" s="251" t="s">
        <v>209</v>
      </c>
      <c r="E6" s="252" t="s">
        <v>16</v>
      </c>
      <c r="F6" s="253" t="s">
        <v>561</v>
      </c>
      <c r="G6" s="408">
        <v>1</v>
      </c>
      <c r="H6" s="254">
        <v>1</v>
      </c>
      <c r="I6" s="259">
        <v>2</v>
      </c>
      <c r="J6" s="259">
        <v>0</v>
      </c>
      <c r="K6" s="259">
        <v>1</v>
      </c>
      <c r="L6" s="259">
        <v>0</v>
      </c>
      <c r="M6" s="260">
        <f t="shared" si="0"/>
        <v>3</v>
      </c>
      <c r="N6" s="255">
        <v>1290</v>
      </c>
      <c r="O6" s="255">
        <v>1290</v>
      </c>
      <c r="P6" s="255">
        <v>1290</v>
      </c>
      <c r="Q6" s="255">
        <v>1290</v>
      </c>
      <c r="R6" s="262">
        <f t="shared" si="1"/>
        <v>3870</v>
      </c>
      <c r="S6" s="269">
        <f t="shared" si="2"/>
        <v>2580</v>
      </c>
      <c r="T6" s="269">
        <f t="shared" si="3"/>
        <v>0</v>
      </c>
      <c r="U6" s="269">
        <f t="shared" si="4"/>
        <v>1290</v>
      </c>
      <c r="V6" s="269">
        <f t="shared" si="5"/>
        <v>0</v>
      </c>
      <c r="W6" s="262">
        <f t="shared" ref="W6:W209" si="6">SUM(S6:V6)</f>
        <v>3870</v>
      </c>
      <c r="X6" s="55" t="s">
        <v>582</v>
      </c>
      <c r="Y6" s="367"/>
      <c r="Z6" s="31">
        <v>5</v>
      </c>
    </row>
    <row r="7" spans="1:28" ht="12.75" hidden="1" outlineLevel="2" x14ac:dyDescent="0.2">
      <c r="A7" s="251" t="s">
        <v>380</v>
      </c>
      <c r="B7" s="251" t="s">
        <v>381</v>
      </c>
      <c r="C7" s="251" t="s">
        <v>207</v>
      </c>
      <c r="D7" s="251" t="s">
        <v>210</v>
      </c>
      <c r="E7" s="252" t="s">
        <v>17</v>
      </c>
      <c r="F7" s="253" t="s">
        <v>290</v>
      </c>
      <c r="G7" s="270">
        <v>1</v>
      </c>
      <c r="H7" s="254">
        <v>1</v>
      </c>
      <c r="I7" s="259">
        <v>0</v>
      </c>
      <c r="J7" s="259">
        <v>0</v>
      </c>
      <c r="K7" s="259">
        <v>2</v>
      </c>
      <c r="L7" s="259">
        <v>0</v>
      </c>
      <c r="M7" s="260">
        <f t="shared" si="0"/>
        <v>2</v>
      </c>
      <c r="N7" s="255">
        <v>1290</v>
      </c>
      <c r="O7" s="255">
        <v>1290</v>
      </c>
      <c r="P7" s="255">
        <v>1290</v>
      </c>
      <c r="Q7" s="255">
        <v>1290</v>
      </c>
      <c r="R7" s="262">
        <f t="shared" si="1"/>
        <v>2580</v>
      </c>
      <c r="S7" s="269">
        <f t="shared" si="2"/>
        <v>0</v>
      </c>
      <c r="T7" s="269">
        <f t="shared" si="3"/>
        <v>0</v>
      </c>
      <c r="U7" s="269">
        <f t="shared" si="4"/>
        <v>2580</v>
      </c>
      <c r="V7" s="269">
        <f t="shared" si="5"/>
        <v>0</v>
      </c>
      <c r="W7" s="262">
        <f t="shared" si="6"/>
        <v>2580</v>
      </c>
      <c r="X7" s="55" t="s">
        <v>582</v>
      </c>
      <c r="Y7" s="224"/>
      <c r="Z7" s="31">
        <v>6</v>
      </c>
    </row>
    <row r="8" spans="1:28" ht="12.75" hidden="1" outlineLevel="2" x14ac:dyDescent="0.2">
      <c r="A8" s="251" t="s">
        <v>380</v>
      </c>
      <c r="B8" s="251" t="s">
        <v>381</v>
      </c>
      <c r="C8" s="251" t="s">
        <v>207</v>
      </c>
      <c r="D8" s="251" t="s">
        <v>211</v>
      </c>
      <c r="E8" s="252" t="s">
        <v>17</v>
      </c>
      <c r="F8" s="253" t="s">
        <v>290</v>
      </c>
      <c r="G8" s="270">
        <v>1</v>
      </c>
      <c r="H8" s="254">
        <v>1</v>
      </c>
      <c r="I8" s="259">
        <v>0</v>
      </c>
      <c r="J8" s="259">
        <v>0</v>
      </c>
      <c r="K8" s="259">
        <v>1</v>
      </c>
      <c r="L8" s="259">
        <v>0</v>
      </c>
      <c r="M8" s="260">
        <f t="shared" si="0"/>
        <v>1</v>
      </c>
      <c r="N8" s="255">
        <v>1290</v>
      </c>
      <c r="O8" s="255">
        <v>1290</v>
      </c>
      <c r="P8" s="255">
        <v>1290</v>
      </c>
      <c r="Q8" s="255">
        <v>1290</v>
      </c>
      <c r="R8" s="262">
        <f t="shared" si="1"/>
        <v>1290</v>
      </c>
      <c r="S8" s="269">
        <f t="shared" si="2"/>
        <v>0</v>
      </c>
      <c r="T8" s="269">
        <f t="shared" si="3"/>
        <v>0</v>
      </c>
      <c r="U8" s="269">
        <f t="shared" si="4"/>
        <v>1290</v>
      </c>
      <c r="V8" s="269">
        <f t="shared" si="5"/>
        <v>0</v>
      </c>
      <c r="W8" s="262">
        <f t="shared" si="6"/>
        <v>1290</v>
      </c>
      <c r="X8" s="55" t="s">
        <v>582</v>
      </c>
      <c r="Y8" s="224"/>
      <c r="Z8" s="31">
        <v>7</v>
      </c>
    </row>
    <row r="9" spans="1:28" ht="12.75" hidden="1" outlineLevel="2" x14ac:dyDescent="0.2">
      <c r="A9" s="251" t="s">
        <v>380</v>
      </c>
      <c r="B9" s="251" t="s">
        <v>381</v>
      </c>
      <c r="C9" s="251" t="s">
        <v>207</v>
      </c>
      <c r="D9" s="251" t="s">
        <v>212</v>
      </c>
      <c r="E9" s="252" t="s">
        <v>37</v>
      </c>
      <c r="F9" s="253" t="s">
        <v>290</v>
      </c>
      <c r="G9" s="270">
        <v>1</v>
      </c>
      <c r="H9" s="254">
        <v>1</v>
      </c>
      <c r="I9" s="259">
        <v>0</v>
      </c>
      <c r="J9" s="259">
        <v>0</v>
      </c>
      <c r="K9" s="259">
        <v>0</v>
      </c>
      <c r="L9" s="259">
        <v>0</v>
      </c>
      <c r="M9" s="260">
        <f t="shared" si="0"/>
        <v>0</v>
      </c>
      <c r="N9" s="255">
        <v>1290</v>
      </c>
      <c r="O9" s="255">
        <v>1290</v>
      </c>
      <c r="P9" s="255">
        <v>1290</v>
      </c>
      <c r="Q9" s="255">
        <v>1290</v>
      </c>
      <c r="R9" s="262">
        <f t="shared" si="1"/>
        <v>0</v>
      </c>
      <c r="S9" s="269">
        <f t="shared" si="2"/>
        <v>0</v>
      </c>
      <c r="T9" s="269">
        <f t="shared" si="3"/>
        <v>0</v>
      </c>
      <c r="U9" s="269">
        <f t="shared" si="4"/>
        <v>0</v>
      </c>
      <c r="V9" s="269">
        <f t="shared" si="5"/>
        <v>0</v>
      </c>
      <c r="W9" s="262">
        <f t="shared" si="6"/>
        <v>0</v>
      </c>
      <c r="X9" s="55" t="s">
        <v>582</v>
      </c>
      <c r="Y9" s="224"/>
      <c r="Z9" s="31">
        <v>8</v>
      </c>
    </row>
    <row r="10" spans="1:28" ht="12.75" hidden="1" outlineLevel="2" x14ac:dyDescent="0.2">
      <c r="A10" s="251" t="s">
        <v>380</v>
      </c>
      <c r="B10" s="251" t="s">
        <v>381</v>
      </c>
      <c r="C10" s="251" t="s">
        <v>207</v>
      </c>
      <c r="D10" s="251" t="s">
        <v>213</v>
      </c>
      <c r="E10" s="252" t="s">
        <v>16</v>
      </c>
      <c r="F10" s="253" t="s">
        <v>106</v>
      </c>
      <c r="G10" s="270">
        <v>1</v>
      </c>
      <c r="H10" s="254">
        <v>1</v>
      </c>
      <c r="I10" s="259">
        <v>7</v>
      </c>
      <c r="J10" s="259">
        <v>0</v>
      </c>
      <c r="K10" s="259">
        <v>17</v>
      </c>
      <c r="L10" s="259">
        <v>19</v>
      </c>
      <c r="M10" s="260">
        <f t="shared" si="0"/>
        <v>43</v>
      </c>
      <c r="N10" s="255">
        <v>1290</v>
      </c>
      <c r="O10" s="255">
        <v>1290</v>
      </c>
      <c r="P10" s="255">
        <v>1290</v>
      </c>
      <c r="Q10" s="255">
        <v>1290</v>
      </c>
      <c r="R10" s="262">
        <f t="shared" si="1"/>
        <v>55470</v>
      </c>
      <c r="S10" s="269">
        <f t="shared" si="2"/>
        <v>9030</v>
      </c>
      <c r="T10" s="269">
        <f t="shared" si="3"/>
        <v>0</v>
      </c>
      <c r="U10" s="269">
        <f t="shared" si="4"/>
        <v>21930</v>
      </c>
      <c r="V10" s="269">
        <f t="shared" si="5"/>
        <v>24510</v>
      </c>
      <c r="W10" s="262">
        <f t="shared" si="6"/>
        <v>55470</v>
      </c>
      <c r="X10" s="55" t="s">
        <v>582</v>
      </c>
      <c r="Y10" s="224"/>
      <c r="Z10" s="31">
        <v>9</v>
      </c>
    </row>
    <row r="11" spans="1:28" ht="12.75" hidden="1" outlineLevel="2" x14ac:dyDescent="0.2">
      <c r="A11" s="251" t="s">
        <v>380</v>
      </c>
      <c r="B11" s="251" t="s">
        <v>381</v>
      </c>
      <c r="C11" s="251" t="s">
        <v>592</v>
      </c>
      <c r="D11" s="251" t="s">
        <v>593</v>
      </c>
      <c r="E11" s="252" t="s">
        <v>16</v>
      </c>
      <c r="F11" s="253" t="s">
        <v>108</v>
      </c>
      <c r="G11" s="270">
        <v>1</v>
      </c>
      <c r="H11" s="254">
        <v>1</v>
      </c>
      <c r="I11" s="259"/>
      <c r="J11" s="259"/>
      <c r="K11" s="259">
        <v>0</v>
      </c>
      <c r="L11" s="259">
        <v>0</v>
      </c>
      <c r="M11" s="260">
        <f t="shared" si="0"/>
        <v>0</v>
      </c>
      <c r="N11" s="255"/>
      <c r="O11" s="255"/>
      <c r="P11" s="255">
        <v>1290</v>
      </c>
      <c r="Q11" s="255">
        <v>1290</v>
      </c>
      <c r="R11" s="262">
        <f t="shared" ref="R11:R15" si="7">SUMPRODUCT(I11:L11,N11:Q11)</f>
        <v>0</v>
      </c>
      <c r="S11" s="269">
        <f t="shared" ref="S11:S15" si="8">IF(N11&gt;prisgrense,I11*prisgrense,I11*N11)</f>
        <v>0</v>
      </c>
      <c r="T11" s="269">
        <f t="shared" ref="T11:T15" si="9">IF(O11&gt;prisgrense,J11*prisgrense,J11*O11)</f>
        <v>0</v>
      </c>
      <c r="U11" s="269">
        <f t="shared" ref="U11:U15" si="10">IF(P11&gt;prisgrense,K11*prisgrense,K11*P11)</f>
        <v>0</v>
      </c>
      <c r="V11" s="269">
        <f t="shared" ref="V11:V15" si="11">IF(Q11&gt;prisgrense,L11*prisgrense,L11*Q11)</f>
        <v>0</v>
      </c>
      <c r="W11" s="262">
        <f t="shared" ref="W11:W15" si="12">SUM(S11:V11)</f>
        <v>0</v>
      </c>
      <c r="X11" s="55" t="s">
        <v>583</v>
      </c>
      <c r="Y11" s="224"/>
    </row>
    <row r="12" spans="1:28" ht="12.75" hidden="1" outlineLevel="2" x14ac:dyDescent="0.2">
      <c r="A12" s="251" t="s">
        <v>380</v>
      </c>
      <c r="B12" s="251" t="s">
        <v>381</v>
      </c>
      <c r="C12" s="251" t="s">
        <v>592</v>
      </c>
      <c r="D12" s="251" t="s">
        <v>594</v>
      </c>
      <c r="E12" s="252" t="s">
        <v>16</v>
      </c>
      <c r="F12" s="253" t="s">
        <v>561</v>
      </c>
      <c r="G12" s="270">
        <v>1</v>
      </c>
      <c r="H12" s="254">
        <v>1</v>
      </c>
      <c r="I12" s="259"/>
      <c r="J12" s="259"/>
      <c r="K12" s="259">
        <v>0</v>
      </c>
      <c r="L12" s="259">
        <v>0</v>
      </c>
      <c r="M12" s="260">
        <f t="shared" si="0"/>
        <v>0</v>
      </c>
      <c r="N12" s="255"/>
      <c r="O12" s="255"/>
      <c r="P12" s="255">
        <v>1290</v>
      </c>
      <c r="Q12" s="255">
        <v>1290</v>
      </c>
      <c r="R12" s="262">
        <f t="shared" si="7"/>
        <v>0</v>
      </c>
      <c r="S12" s="269">
        <f t="shared" si="8"/>
        <v>0</v>
      </c>
      <c r="T12" s="269">
        <f t="shared" si="9"/>
        <v>0</v>
      </c>
      <c r="U12" s="269">
        <f t="shared" si="10"/>
        <v>0</v>
      </c>
      <c r="V12" s="269">
        <f t="shared" si="11"/>
        <v>0</v>
      </c>
      <c r="W12" s="262">
        <f t="shared" si="12"/>
        <v>0</v>
      </c>
      <c r="X12" s="55" t="s">
        <v>583</v>
      </c>
      <c r="Y12" s="224"/>
    </row>
    <row r="13" spans="1:28" ht="12.75" hidden="1" outlineLevel="2" x14ac:dyDescent="0.2">
      <c r="A13" s="251" t="s">
        <v>380</v>
      </c>
      <c r="B13" s="251" t="s">
        <v>381</v>
      </c>
      <c r="C13" s="251" t="s">
        <v>592</v>
      </c>
      <c r="D13" s="251" t="s">
        <v>595</v>
      </c>
      <c r="E13" s="252" t="s">
        <v>17</v>
      </c>
      <c r="F13" s="253" t="s">
        <v>290</v>
      </c>
      <c r="G13" s="270">
        <v>1</v>
      </c>
      <c r="H13" s="254">
        <v>1</v>
      </c>
      <c r="I13" s="259"/>
      <c r="J13" s="259"/>
      <c r="K13" s="259">
        <v>0</v>
      </c>
      <c r="L13" s="259">
        <v>0</v>
      </c>
      <c r="M13" s="260">
        <f t="shared" si="0"/>
        <v>0</v>
      </c>
      <c r="N13" s="255"/>
      <c r="O13" s="255"/>
      <c r="P13" s="255">
        <v>1290</v>
      </c>
      <c r="Q13" s="255">
        <v>1290</v>
      </c>
      <c r="R13" s="262">
        <f t="shared" si="7"/>
        <v>0</v>
      </c>
      <c r="S13" s="269">
        <f t="shared" si="8"/>
        <v>0</v>
      </c>
      <c r="T13" s="269">
        <f t="shared" si="9"/>
        <v>0</v>
      </c>
      <c r="U13" s="269">
        <f t="shared" si="10"/>
        <v>0</v>
      </c>
      <c r="V13" s="269">
        <f t="shared" si="11"/>
        <v>0</v>
      </c>
      <c r="W13" s="262">
        <f t="shared" si="12"/>
        <v>0</v>
      </c>
      <c r="X13" s="55" t="s">
        <v>583</v>
      </c>
      <c r="Y13" s="224"/>
    </row>
    <row r="14" spans="1:28" ht="12.75" hidden="1" outlineLevel="2" x14ac:dyDescent="0.2">
      <c r="A14" s="251" t="s">
        <v>380</v>
      </c>
      <c r="B14" s="251" t="s">
        <v>381</v>
      </c>
      <c r="C14" s="251" t="s">
        <v>592</v>
      </c>
      <c r="D14" s="251" t="s">
        <v>596</v>
      </c>
      <c r="E14" s="252" t="s">
        <v>37</v>
      </c>
      <c r="F14" s="253" t="s">
        <v>290</v>
      </c>
      <c r="G14" s="270">
        <v>1</v>
      </c>
      <c r="H14" s="254">
        <v>1</v>
      </c>
      <c r="I14" s="259"/>
      <c r="J14" s="259"/>
      <c r="K14" s="259">
        <v>0</v>
      </c>
      <c r="L14" s="259">
        <v>0</v>
      </c>
      <c r="M14" s="260">
        <f t="shared" si="0"/>
        <v>0</v>
      </c>
      <c r="N14" s="255"/>
      <c r="O14" s="255"/>
      <c r="P14" s="255">
        <v>1290</v>
      </c>
      <c r="Q14" s="255">
        <v>1290</v>
      </c>
      <c r="R14" s="262">
        <f t="shared" si="7"/>
        <v>0</v>
      </c>
      <c r="S14" s="269">
        <f t="shared" si="8"/>
        <v>0</v>
      </c>
      <c r="T14" s="269">
        <f t="shared" si="9"/>
        <v>0</v>
      </c>
      <c r="U14" s="269">
        <f t="shared" si="10"/>
        <v>0</v>
      </c>
      <c r="V14" s="269">
        <f t="shared" si="11"/>
        <v>0</v>
      </c>
      <c r="W14" s="262">
        <f t="shared" si="12"/>
        <v>0</v>
      </c>
      <c r="X14" s="55" t="s">
        <v>583</v>
      </c>
      <c r="Y14" s="224"/>
    </row>
    <row r="15" spans="1:28" ht="12.75" hidden="1" outlineLevel="2" x14ac:dyDescent="0.2">
      <c r="A15" s="251" t="s">
        <v>380</v>
      </c>
      <c r="B15" s="251" t="s">
        <v>381</v>
      </c>
      <c r="C15" s="251" t="s">
        <v>592</v>
      </c>
      <c r="D15" s="251" t="s">
        <v>597</v>
      </c>
      <c r="E15" s="252" t="s">
        <v>16</v>
      </c>
      <c r="F15" s="253" t="s">
        <v>106</v>
      </c>
      <c r="G15" s="270">
        <v>1</v>
      </c>
      <c r="H15" s="254">
        <v>1</v>
      </c>
      <c r="I15" s="259"/>
      <c r="J15" s="259"/>
      <c r="K15" s="259">
        <v>0</v>
      </c>
      <c r="L15" s="259">
        <v>0</v>
      </c>
      <c r="M15" s="260">
        <f t="shared" si="0"/>
        <v>0</v>
      </c>
      <c r="N15" s="255"/>
      <c r="O15" s="255"/>
      <c r="P15" s="255">
        <v>1290</v>
      </c>
      <c r="Q15" s="255">
        <v>1290</v>
      </c>
      <c r="R15" s="262">
        <f t="shared" si="7"/>
        <v>0</v>
      </c>
      <c r="S15" s="269">
        <f t="shared" si="8"/>
        <v>0</v>
      </c>
      <c r="T15" s="269">
        <f t="shared" si="9"/>
        <v>0</v>
      </c>
      <c r="U15" s="269">
        <f t="shared" si="10"/>
        <v>0</v>
      </c>
      <c r="V15" s="269">
        <f t="shared" si="11"/>
        <v>0</v>
      </c>
      <c r="W15" s="262">
        <f t="shared" si="12"/>
        <v>0</v>
      </c>
      <c r="X15" s="55" t="s">
        <v>583</v>
      </c>
      <c r="Y15" s="224"/>
    </row>
    <row r="16" spans="1:28" ht="12.75" hidden="1" outlineLevel="2" x14ac:dyDescent="0.2">
      <c r="A16" s="251" t="s">
        <v>375</v>
      </c>
      <c r="B16" s="251" t="s">
        <v>376</v>
      </c>
      <c r="C16" s="251" t="s">
        <v>214</v>
      </c>
      <c r="D16" s="251" t="s">
        <v>215</v>
      </c>
      <c r="E16" s="252" t="s">
        <v>291</v>
      </c>
      <c r="F16" s="253" t="s">
        <v>108</v>
      </c>
      <c r="G16" s="270">
        <v>1</v>
      </c>
      <c r="H16" s="254">
        <v>2</v>
      </c>
      <c r="I16" s="259">
        <v>1</v>
      </c>
      <c r="J16" s="259">
        <v>2</v>
      </c>
      <c r="K16" s="259">
        <v>0</v>
      </c>
      <c r="L16" s="259">
        <v>0</v>
      </c>
      <c r="M16" s="260">
        <f t="shared" si="0"/>
        <v>3</v>
      </c>
      <c r="N16" s="255">
        <v>1890</v>
      </c>
      <c r="O16" s="255">
        <v>1890</v>
      </c>
      <c r="P16" s="255">
        <v>1912</v>
      </c>
      <c r="Q16" s="255">
        <v>1912</v>
      </c>
      <c r="R16" s="262">
        <f t="shared" si="1"/>
        <v>5670</v>
      </c>
      <c r="S16" s="269">
        <f t="shared" si="2"/>
        <v>1890</v>
      </c>
      <c r="T16" s="269">
        <f t="shared" si="3"/>
        <v>3780</v>
      </c>
      <c r="U16" s="269">
        <f t="shared" si="4"/>
        <v>0</v>
      </c>
      <c r="V16" s="269">
        <f t="shared" si="5"/>
        <v>0</v>
      </c>
      <c r="W16" s="262">
        <f t="shared" si="6"/>
        <v>5670</v>
      </c>
      <c r="X16" s="55"/>
      <c r="Y16" s="224"/>
      <c r="Z16" s="31">
        <v>10</v>
      </c>
    </row>
    <row r="17" spans="1:26" ht="12.75" hidden="1" outlineLevel="2" x14ac:dyDescent="0.2">
      <c r="A17" s="251" t="s">
        <v>375</v>
      </c>
      <c r="B17" s="251" t="s">
        <v>376</v>
      </c>
      <c r="C17" s="251" t="s">
        <v>214</v>
      </c>
      <c r="D17" s="251" t="s">
        <v>216</v>
      </c>
      <c r="E17" s="252" t="s">
        <v>16</v>
      </c>
      <c r="F17" s="253" t="s">
        <v>108</v>
      </c>
      <c r="G17" s="270">
        <v>1</v>
      </c>
      <c r="H17" s="254">
        <v>2</v>
      </c>
      <c r="I17" s="259">
        <v>0</v>
      </c>
      <c r="J17" s="259">
        <v>2</v>
      </c>
      <c r="K17" s="259">
        <v>0</v>
      </c>
      <c r="L17" s="259">
        <v>0</v>
      </c>
      <c r="M17" s="260">
        <f t="shared" si="0"/>
        <v>2</v>
      </c>
      <c r="N17" s="255">
        <v>1890</v>
      </c>
      <c r="O17" s="255">
        <v>1890</v>
      </c>
      <c r="P17" s="255">
        <v>1912</v>
      </c>
      <c r="Q17" s="255">
        <v>1912</v>
      </c>
      <c r="R17" s="262">
        <f t="shared" si="1"/>
        <v>3780</v>
      </c>
      <c r="S17" s="269">
        <f t="shared" si="2"/>
        <v>0</v>
      </c>
      <c r="T17" s="269">
        <f t="shared" si="3"/>
        <v>3780</v>
      </c>
      <c r="U17" s="269">
        <f t="shared" si="4"/>
        <v>0</v>
      </c>
      <c r="V17" s="269">
        <f t="shared" si="5"/>
        <v>0</v>
      </c>
      <c r="W17" s="262">
        <f t="shared" si="6"/>
        <v>3780</v>
      </c>
      <c r="X17" s="55"/>
      <c r="Y17" s="224"/>
      <c r="Z17" s="31">
        <v>11</v>
      </c>
    </row>
    <row r="18" spans="1:26" ht="12.75" hidden="1" outlineLevel="2" x14ac:dyDescent="0.2">
      <c r="A18" s="251" t="s">
        <v>375</v>
      </c>
      <c r="B18" s="251" t="s">
        <v>376</v>
      </c>
      <c r="C18" s="251" t="s">
        <v>214</v>
      </c>
      <c r="D18" s="251" t="s">
        <v>217</v>
      </c>
      <c r="E18" s="252" t="s">
        <v>17</v>
      </c>
      <c r="F18" s="253" t="s">
        <v>290</v>
      </c>
      <c r="G18" s="270">
        <v>1</v>
      </c>
      <c r="H18" s="254">
        <v>2</v>
      </c>
      <c r="I18" s="259">
        <v>0</v>
      </c>
      <c r="J18" s="259">
        <v>0</v>
      </c>
      <c r="K18" s="259">
        <v>0</v>
      </c>
      <c r="L18" s="259">
        <v>0</v>
      </c>
      <c r="M18" s="260">
        <f t="shared" si="0"/>
        <v>0</v>
      </c>
      <c r="N18" s="255">
        <v>1890</v>
      </c>
      <c r="O18" s="255">
        <v>1890</v>
      </c>
      <c r="P18" s="255">
        <v>1912</v>
      </c>
      <c r="Q18" s="255">
        <v>1912</v>
      </c>
      <c r="R18" s="262">
        <f t="shared" si="1"/>
        <v>0</v>
      </c>
      <c r="S18" s="269">
        <f t="shared" si="2"/>
        <v>0</v>
      </c>
      <c r="T18" s="269">
        <f t="shared" si="3"/>
        <v>0</v>
      </c>
      <c r="U18" s="269">
        <f t="shared" si="4"/>
        <v>0</v>
      </c>
      <c r="V18" s="269">
        <f t="shared" si="5"/>
        <v>0</v>
      </c>
      <c r="W18" s="262">
        <f t="shared" si="6"/>
        <v>0</v>
      </c>
      <c r="X18" s="55"/>
      <c r="Y18" s="224"/>
      <c r="Z18" s="31">
        <v>12</v>
      </c>
    </row>
    <row r="19" spans="1:26" ht="12.75" hidden="1" outlineLevel="2" x14ac:dyDescent="0.2">
      <c r="A19" s="251" t="s">
        <v>375</v>
      </c>
      <c r="B19" s="251" t="s">
        <v>376</v>
      </c>
      <c r="C19" s="251" t="s">
        <v>214</v>
      </c>
      <c r="D19" s="251" t="s">
        <v>218</v>
      </c>
      <c r="E19" s="252" t="s">
        <v>17</v>
      </c>
      <c r="F19" s="253" t="s">
        <v>290</v>
      </c>
      <c r="G19" s="270">
        <v>1</v>
      </c>
      <c r="H19" s="254">
        <v>2</v>
      </c>
      <c r="I19" s="259">
        <v>0</v>
      </c>
      <c r="J19" s="259">
        <v>8</v>
      </c>
      <c r="K19" s="259">
        <v>1</v>
      </c>
      <c r="L19" s="259">
        <v>0</v>
      </c>
      <c r="M19" s="260">
        <f t="shared" si="0"/>
        <v>9</v>
      </c>
      <c r="N19" s="255">
        <v>1890</v>
      </c>
      <c r="O19" s="255">
        <v>1890</v>
      </c>
      <c r="P19" s="255">
        <v>1912</v>
      </c>
      <c r="Q19" s="255">
        <v>1912</v>
      </c>
      <c r="R19" s="262">
        <f t="shared" si="1"/>
        <v>17032</v>
      </c>
      <c r="S19" s="269">
        <f t="shared" si="2"/>
        <v>0</v>
      </c>
      <c r="T19" s="269">
        <f t="shared" si="3"/>
        <v>15120</v>
      </c>
      <c r="U19" s="269">
        <f t="shared" si="4"/>
        <v>1912</v>
      </c>
      <c r="V19" s="269">
        <f t="shared" si="5"/>
        <v>0</v>
      </c>
      <c r="W19" s="262">
        <f t="shared" si="6"/>
        <v>17032</v>
      </c>
      <c r="X19" s="55"/>
      <c r="Y19" s="224"/>
      <c r="Z19" s="31">
        <v>13</v>
      </c>
    </row>
    <row r="20" spans="1:26" ht="12.75" hidden="1" outlineLevel="2" x14ac:dyDescent="0.2">
      <c r="A20" s="251" t="s">
        <v>375</v>
      </c>
      <c r="B20" s="251" t="s">
        <v>376</v>
      </c>
      <c r="C20" s="251" t="s">
        <v>214</v>
      </c>
      <c r="D20" s="251" t="s">
        <v>219</v>
      </c>
      <c r="E20" s="252" t="s">
        <v>37</v>
      </c>
      <c r="F20" s="253" t="s">
        <v>290</v>
      </c>
      <c r="G20" s="270">
        <v>1</v>
      </c>
      <c r="H20" s="254">
        <v>2</v>
      </c>
      <c r="I20" s="259">
        <v>0</v>
      </c>
      <c r="J20" s="259">
        <v>0</v>
      </c>
      <c r="K20" s="259">
        <v>0</v>
      </c>
      <c r="L20" s="259">
        <v>0</v>
      </c>
      <c r="M20" s="260">
        <f t="shared" si="0"/>
        <v>0</v>
      </c>
      <c r="N20" s="255">
        <v>1890</v>
      </c>
      <c r="O20" s="255">
        <v>1890</v>
      </c>
      <c r="P20" s="255">
        <v>1912</v>
      </c>
      <c r="Q20" s="255">
        <v>1890</v>
      </c>
      <c r="R20" s="262">
        <f t="shared" si="1"/>
        <v>0</v>
      </c>
      <c r="S20" s="269">
        <f t="shared" si="2"/>
        <v>0</v>
      </c>
      <c r="T20" s="269">
        <f t="shared" si="3"/>
        <v>0</v>
      </c>
      <c r="U20" s="269">
        <f t="shared" si="4"/>
        <v>0</v>
      </c>
      <c r="V20" s="269">
        <f t="shared" si="5"/>
        <v>0</v>
      </c>
      <c r="W20" s="262">
        <f t="shared" si="6"/>
        <v>0</v>
      </c>
      <c r="X20" s="55"/>
      <c r="Y20" s="224"/>
      <c r="Z20" s="31">
        <v>14</v>
      </c>
    </row>
    <row r="21" spans="1:26" ht="12.75" hidden="1" outlineLevel="2" x14ac:dyDescent="0.2">
      <c r="A21" s="251" t="s">
        <v>380</v>
      </c>
      <c r="B21" s="251" t="s">
        <v>381</v>
      </c>
      <c r="C21" s="251" t="s">
        <v>220</v>
      </c>
      <c r="D21" s="251" t="s">
        <v>221</v>
      </c>
      <c r="E21" s="252" t="s">
        <v>291</v>
      </c>
      <c r="F21" s="253" t="s">
        <v>561</v>
      </c>
      <c r="G21" s="267">
        <v>1</v>
      </c>
      <c r="H21" s="254">
        <v>3</v>
      </c>
      <c r="I21" s="259">
        <v>0</v>
      </c>
      <c r="J21" s="259">
        <v>0</v>
      </c>
      <c r="K21" s="259">
        <v>0</v>
      </c>
      <c r="L21" s="259">
        <v>0</v>
      </c>
      <c r="M21" s="260">
        <f t="shared" si="0"/>
        <v>0</v>
      </c>
      <c r="N21" s="255">
        <v>1490</v>
      </c>
      <c r="O21" s="255">
        <v>1490</v>
      </c>
      <c r="P21" s="255">
        <v>1490</v>
      </c>
      <c r="Q21" s="255">
        <v>1490</v>
      </c>
      <c r="R21" s="262">
        <f t="shared" si="1"/>
        <v>0</v>
      </c>
      <c r="S21" s="269">
        <f t="shared" si="2"/>
        <v>0</v>
      </c>
      <c r="T21" s="269">
        <f t="shared" si="3"/>
        <v>0</v>
      </c>
      <c r="U21" s="269">
        <f t="shared" si="4"/>
        <v>0</v>
      </c>
      <c r="V21" s="269">
        <f t="shared" si="5"/>
        <v>0</v>
      </c>
      <c r="W21" s="262">
        <f t="shared" si="6"/>
        <v>0</v>
      </c>
      <c r="X21" s="55"/>
      <c r="Y21" s="55"/>
      <c r="Z21" s="31">
        <v>15</v>
      </c>
    </row>
    <row r="22" spans="1:26" ht="12.75" hidden="1" outlineLevel="2" x14ac:dyDescent="0.2">
      <c r="A22" s="251" t="s">
        <v>380</v>
      </c>
      <c r="B22" s="251" t="s">
        <v>381</v>
      </c>
      <c r="C22" s="251" t="s">
        <v>220</v>
      </c>
      <c r="D22" s="251" t="s">
        <v>222</v>
      </c>
      <c r="E22" s="252" t="s">
        <v>16</v>
      </c>
      <c r="F22" s="253" t="s">
        <v>108</v>
      </c>
      <c r="G22" s="267">
        <v>1</v>
      </c>
      <c r="H22" s="254">
        <v>3</v>
      </c>
      <c r="I22" s="259">
        <v>0</v>
      </c>
      <c r="J22" s="259">
        <v>2</v>
      </c>
      <c r="K22" s="259">
        <v>4</v>
      </c>
      <c r="L22" s="259">
        <v>0</v>
      </c>
      <c r="M22" s="260">
        <f t="shared" si="0"/>
        <v>6</v>
      </c>
      <c r="N22" s="255">
        <v>1490</v>
      </c>
      <c r="O22" s="255">
        <v>1490</v>
      </c>
      <c r="P22" s="255">
        <v>1490</v>
      </c>
      <c r="Q22" s="255">
        <v>1490</v>
      </c>
      <c r="R22" s="262">
        <f t="shared" si="1"/>
        <v>8940</v>
      </c>
      <c r="S22" s="269">
        <f t="shared" si="2"/>
        <v>0</v>
      </c>
      <c r="T22" s="269">
        <f t="shared" si="3"/>
        <v>2980</v>
      </c>
      <c r="U22" s="269">
        <f t="shared" si="4"/>
        <v>5960</v>
      </c>
      <c r="V22" s="269">
        <f t="shared" si="5"/>
        <v>0</v>
      </c>
      <c r="W22" s="262">
        <f t="shared" si="6"/>
        <v>8940</v>
      </c>
      <c r="X22" s="55"/>
      <c r="Y22" s="55"/>
      <c r="Z22" s="31">
        <v>16</v>
      </c>
    </row>
    <row r="23" spans="1:26" ht="12.75" hidden="1" outlineLevel="2" x14ac:dyDescent="0.2">
      <c r="A23" s="251" t="s">
        <v>380</v>
      </c>
      <c r="B23" s="251" t="s">
        <v>381</v>
      </c>
      <c r="C23" s="251" t="s">
        <v>220</v>
      </c>
      <c r="D23" s="251" t="s">
        <v>223</v>
      </c>
      <c r="E23" s="252" t="s">
        <v>17</v>
      </c>
      <c r="F23" s="253" t="s">
        <v>290</v>
      </c>
      <c r="G23" s="267">
        <v>1</v>
      </c>
      <c r="H23" s="254">
        <v>3</v>
      </c>
      <c r="I23" s="259">
        <v>0</v>
      </c>
      <c r="J23" s="259">
        <v>0</v>
      </c>
      <c r="K23" s="259">
        <v>0</v>
      </c>
      <c r="L23" s="259">
        <v>0</v>
      </c>
      <c r="M23" s="260">
        <f t="shared" si="0"/>
        <v>0</v>
      </c>
      <c r="N23" s="255">
        <v>1490</v>
      </c>
      <c r="O23" s="255">
        <v>1490</v>
      </c>
      <c r="P23" s="255">
        <v>1490</v>
      </c>
      <c r="Q23" s="255">
        <v>1490</v>
      </c>
      <c r="R23" s="262">
        <f t="shared" si="1"/>
        <v>0</v>
      </c>
      <c r="S23" s="269">
        <f t="shared" si="2"/>
        <v>0</v>
      </c>
      <c r="T23" s="269">
        <f t="shared" si="3"/>
        <v>0</v>
      </c>
      <c r="U23" s="269">
        <f t="shared" si="4"/>
        <v>0</v>
      </c>
      <c r="V23" s="269">
        <f t="shared" si="5"/>
        <v>0</v>
      </c>
      <c r="W23" s="262">
        <f t="shared" si="6"/>
        <v>0</v>
      </c>
      <c r="X23" s="55"/>
      <c r="Y23" s="55"/>
      <c r="Z23" s="31">
        <v>17</v>
      </c>
    </row>
    <row r="24" spans="1:26" ht="12.75" hidden="1" outlineLevel="2" x14ac:dyDescent="0.2">
      <c r="A24" s="251" t="s">
        <v>380</v>
      </c>
      <c r="B24" s="251" t="s">
        <v>381</v>
      </c>
      <c r="C24" s="251" t="s">
        <v>220</v>
      </c>
      <c r="D24" s="251" t="s">
        <v>224</v>
      </c>
      <c r="E24" s="252" t="s">
        <v>17</v>
      </c>
      <c r="F24" s="253" t="s">
        <v>290</v>
      </c>
      <c r="G24" s="267">
        <v>1</v>
      </c>
      <c r="H24" s="254">
        <v>3</v>
      </c>
      <c r="I24" s="259">
        <v>0</v>
      </c>
      <c r="J24" s="259">
        <v>0</v>
      </c>
      <c r="K24" s="259">
        <v>0</v>
      </c>
      <c r="L24" s="259">
        <v>0</v>
      </c>
      <c r="M24" s="260">
        <f t="shared" si="0"/>
        <v>0</v>
      </c>
      <c r="N24" s="255">
        <v>1490</v>
      </c>
      <c r="O24" s="255">
        <v>1490</v>
      </c>
      <c r="P24" s="255">
        <v>1490</v>
      </c>
      <c r="Q24" s="255">
        <v>1490</v>
      </c>
      <c r="R24" s="262">
        <f t="shared" si="1"/>
        <v>0</v>
      </c>
      <c r="S24" s="269">
        <f t="shared" si="2"/>
        <v>0</v>
      </c>
      <c r="T24" s="269">
        <f t="shared" si="3"/>
        <v>0</v>
      </c>
      <c r="U24" s="269">
        <f t="shared" si="4"/>
        <v>0</v>
      </c>
      <c r="V24" s="269">
        <f t="shared" si="5"/>
        <v>0</v>
      </c>
      <c r="W24" s="262">
        <f t="shared" si="6"/>
        <v>0</v>
      </c>
      <c r="X24" s="55"/>
      <c r="Y24" s="55"/>
      <c r="Z24" s="31">
        <v>18</v>
      </c>
    </row>
    <row r="25" spans="1:26" ht="12.75" hidden="1" outlineLevel="2" x14ac:dyDescent="0.2">
      <c r="A25" s="251" t="s">
        <v>380</v>
      </c>
      <c r="B25" s="251" t="s">
        <v>381</v>
      </c>
      <c r="C25" s="251" t="s">
        <v>220</v>
      </c>
      <c r="D25" s="251" t="s">
        <v>225</v>
      </c>
      <c r="E25" s="252" t="s">
        <v>37</v>
      </c>
      <c r="F25" s="253" t="s">
        <v>290</v>
      </c>
      <c r="G25" s="267">
        <v>1</v>
      </c>
      <c r="H25" s="254">
        <v>3</v>
      </c>
      <c r="I25" s="259">
        <v>0</v>
      </c>
      <c r="J25" s="259">
        <v>0</v>
      </c>
      <c r="K25" s="259">
        <v>0</v>
      </c>
      <c r="L25" s="259">
        <v>3</v>
      </c>
      <c r="M25" s="260">
        <f t="shared" si="0"/>
        <v>3</v>
      </c>
      <c r="N25" s="255">
        <v>1490</v>
      </c>
      <c r="O25" s="255">
        <v>1490</v>
      </c>
      <c r="P25" s="255">
        <v>1490</v>
      </c>
      <c r="Q25" s="255">
        <v>1490</v>
      </c>
      <c r="R25" s="262">
        <f t="shared" si="1"/>
        <v>4470</v>
      </c>
      <c r="S25" s="269">
        <f t="shared" si="2"/>
        <v>0</v>
      </c>
      <c r="T25" s="269">
        <f t="shared" si="3"/>
        <v>0</v>
      </c>
      <c r="U25" s="269">
        <f t="shared" si="4"/>
        <v>0</v>
      </c>
      <c r="V25" s="269">
        <f t="shared" si="5"/>
        <v>4470</v>
      </c>
      <c r="W25" s="262">
        <f t="shared" si="6"/>
        <v>4470</v>
      </c>
      <c r="X25" s="55"/>
      <c r="Y25" s="224"/>
      <c r="Z25" s="31">
        <v>19</v>
      </c>
    </row>
    <row r="26" spans="1:26" ht="12.75" hidden="1" outlineLevel="2" x14ac:dyDescent="0.2">
      <c r="A26" s="251" t="s">
        <v>377</v>
      </c>
      <c r="B26" s="251" t="s">
        <v>378</v>
      </c>
      <c r="C26" s="251">
        <v>301</v>
      </c>
      <c r="D26" s="251" t="s">
        <v>226</v>
      </c>
      <c r="E26" s="252" t="s">
        <v>291</v>
      </c>
      <c r="F26" s="253" t="s">
        <v>108</v>
      </c>
      <c r="G26" s="267">
        <v>1</v>
      </c>
      <c r="H26" s="254">
        <v>4</v>
      </c>
      <c r="I26" s="259">
        <v>0</v>
      </c>
      <c r="J26" s="259"/>
      <c r="K26" s="259"/>
      <c r="L26" s="259"/>
      <c r="M26" s="260">
        <f t="shared" si="0"/>
        <v>0</v>
      </c>
      <c r="N26" s="255">
        <v>1600</v>
      </c>
      <c r="O26" s="255">
        <v>1600</v>
      </c>
      <c r="P26" s="255">
        <v>1600</v>
      </c>
      <c r="Q26" s="255">
        <v>1600</v>
      </c>
      <c r="R26" s="262">
        <f t="shared" si="1"/>
        <v>0</v>
      </c>
      <c r="S26" s="269">
        <f t="shared" si="2"/>
        <v>0</v>
      </c>
      <c r="T26" s="269">
        <f t="shared" si="3"/>
        <v>0</v>
      </c>
      <c r="U26" s="269">
        <f t="shared" si="4"/>
        <v>0</v>
      </c>
      <c r="V26" s="269">
        <f t="shared" si="5"/>
        <v>0</v>
      </c>
      <c r="W26" s="262">
        <f t="shared" si="6"/>
        <v>0</v>
      </c>
      <c r="X26" s="55"/>
      <c r="Y26" s="224"/>
      <c r="Z26" s="31">
        <v>20</v>
      </c>
    </row>
    <row r="27" spans="1:26" ht="10.5" hidden="1" customHeight="1" outlineLevel="2" x14ac:dyDescent="0.2">
      <c r="A27" s="251" t="s">
        <v>377</v>
      </c>
      <c r="B27" s="251" t="s">
        <v>378</v>
      </c>
      <c r="C27" s="251">
        <v>301</v>
      </c>
      <c r="D27" s="251" t="s">
        <v>227</v>
      </c>
      <c r="E27" s="252" t="s">
        <v>16</v>
      </c>
      <c r="F27" s="253" t="s">
        <v>108</v>
      </c>
      <c r="G27" s="267">
        <v>1</v>
      </c>
      <c r="H27" s="254">
        <v>4</v>
      </c>
      <c r="I27" s="259">
        <v>0</v>
      </c>
      <c r="J27" s="259"/>
      <c r="K27" s="259"/>
      <c r="L27" s="259"/>
      <c r="M27" s="260">
        <f t="shared" si="0"/>
        <v>0</v>
      </c>
      <c r="N27" s="255">
        <v>1600</v>
      </c>
      <c r="O27" s="255">
        <v>1600</v>
      </c>
      <c r="P27" s="255">
        <v>1600</v>
      </c>
      <c r="Q27" s="255">
        <v>1600</v>
      </c>
      <c r="R27" s="262">
        <f t="shared" si="1"/>
        <v>0</v>
      </c>
      <c r="S27" s="269">
        <f t="shared" si="2"/>
        <v>0</v>
      </c>
      <c r="T27" s="269">
        <f t="shared" si="3"/>
        <v>0</v>
      </c>
      <c r="U27" s="269">
        <f t="shared" si="4"/>
        <v>0</v>
      </c>
      <c r="V27" s="269">
        <f t="shared" si="5"/>
        <v>0</v>
      </c>
      <c r="W27" s="262">
        <f t="shared" si="6"/>
        <v>0</v>
      </c>
      <c r="X27" s="55"/>
      <c r="Y27" s="224"/>
      <c r="Z27" s="31">
        <v>21</v>
      </c>
    </row>
    <row r="28" spans="1:26" ht="10.5" hidden="1" customHeight="1" outlineLevel="2" x14ac:dyDescent="0.2">
      <c r="A28" s="251" t="s">
        <v>377</v>
      </c>
      <c r="B28" s="251" t="s">
        <v>378</v>
      </c>
      <c r="C28" s="251">
        <v>301</v>
      </c>
      <c r="D28" s="251" t="s">
        <v>228</v>
      </c>
      <c r="E28" s="252" t="s">
        <v>16</v>
      </c>
      <c r="F28" s="253" t="s">
        <v>106</v>
      </c>
      <c r="G28" s="267">
        <v>1</v>
      </c>
      <c r="H28" s="254">
        <v>4</v>
      </c>
      <c r="I28" s="259">
        <v>0</v>
      </c>
      <c r="J28" s="259"/>
      <c r="K28" s="259"/>
      <c r="L28" s="259"/>
      <c r="M28" s="260">
        <f t="shared" si="0"/>
        <v>0</v>
      </c>
      <c r="N28" s="255">
        <v>1600</v>
      </c>
      <c r="O28" s="255">
        <v>1600</v>
      </c>
      <c r="P28" s="255">
        <v>1600</v>
      </c>
      <c r="Q28" s="255">
        <v>1600</v>
      </c>
      <c r="R28" s="262">
        <f t="shared" si="1"/>
        <v>0</v>
      </c>
      <c r="S28" s="269">
        <f t="shared" si="2"/>
        <v>0</v>
      </c>
      <c r="T28" s="269">
        <f t="shared" si="3"/>
        <v>0</v>
      </c>
      <c r="U28" s="269">
        <f t="shared" si="4"/>
        <v>0</v>
      </c>
      <c r="V28" s="269">
        <f t="shared" si="5"/>
        <v>0</v>
      </c>
      <c r="W28" s="262">
        <f t="shared" si="6"/>
        <v>0</v>
      </c>
      <c r="X28" s="55"/>
      <c r="Y28" s="224"/>
      <c r="Z28" s="31">
        <v>22</v>
      </c>
    </row>
    <row r="29" spans="1:26" ht="10.5" hidden="1" customHeight="1" outlineLevel="2" x14ac:dyDescent="0.2">
      <c r="A29" s="251" t="s">
        <v>377</v>
      </c>
      <c r="B29" s="251" t="s">
        <v>378</v>
      </c>
      <c r="C29" s="251">
        <v>301</v>
      </c>
      <c r="D29" s="251" t="s">
        <v>229</v>
      </c>
      <c r="E29" s="252" t="s">
        <v>17</v>
      </c>
      <c r="F29" s="253" t="s">
        <v>290</v>
      </c>
      <c r="G29" s="267">
        <v>1</v>
      </c>
      <c r="H29" s="254">
        <v>4</v>
      </c>
      <c r="I29" s="259">
        <v>0</v>
      </c>
      <c r="J29" s="259"/>
      <c r="K29" s="259"/>
      <c r="L29" s="259"/>
      <c r="M29" s="260">
        <f t="shared" si="0"/>
        <v>0</v>
      </c>
      <c r="N29" s="255">
        <v>1600</v>
      </c>
      <c r="O29" s="255">
        <v>1600</v>
      </c>
      <c r="P29" s="255">
        <v>1600</v>
      </c>
      <c r="Q29" s="255">
        <v>1600</v>
      </c>
      <c r="R29" s="262">
        <f t="shared" si="1"/>
        <v>0</v>
      </c>
      <c r="S29" s="269">
        <f t="shared" si="2"/>
        <v>0</v>
      </c>
      <c r="T29" s="269">
        <f t="shared" si="3"/>
        <v>0</v>
      </c>
      <c r="U29" s="269">
        <f t="shared" si="4"/>
        <v>0</v>
      </c>
      <c r="V29" s="269">
        <f t="shared" si="5"/>
        <v>0</v>
      </c>
      <c r="W29" s="262">
        <f t="shared" si="6"/>
        <v>0</v>
      </c>
      <c r="X29" s="55"/>
      <c r="Y29" s="55"/>
      <c r="Z29" s="31">
        <v>23</v>
      </c>
    </row>
    <row r="30" spans="1:26" ht="10.5" hidden="1" customHeight="1" outlineLevel="2" x14ac:dyDescent="0.2">
      <c r="A30" s="251" t="s">
        <v>377</v>
      </c>
      <c r="B30" s="251" t="s">
        <v>378</v>
      </c>
      <c r="C30" s="251">
        <v>301</v>
      </c>
      <c r="D30" s="251" t="s">
        <v>230</v>
      </c>
      <c r="E30" s="252" t="s">
        <v>17</v>
      </c>
      <c r="F30" s="253" t="s">
        <v>290</v>
      </c>
      <c r="G30" s="267">
        <v>1</v>
      </c>
      <c r="H30" s="254">
        <v>4</v>
      </c>
      <c r="I30" s="259">
        <v>0</v>
      </c>
      <c r="J30" s="259"/>
      <c r="K30" s="259"/>
      <c r="L30" s="259"/>
      <c r="M30" s="260">
        <f t="shared" si="0"/>
        <v>0</v>
      </c>
      <c r="N30" s="255">
        <v>1600</v>
      </c>
      <c r="O30" s="255">
        <v>1600</v>
      </c>
      <c r="P30" s="255">
        <v>1600</v>
      </c>
      <c r="Q30" s="255">
        <v>1600</v>
      </c>
      <c r="R30" s="262">
        <f t="shared" si="1"/>
        <v>0</v>
      </c>
      <c r="S30" s="269">
        <f t="shared" si="2"/>
        <v>0</v>
      </c>
      <c r="T30" s="269">
        <f t="shared" si="3"/>
        <v>0</v>
      </c>
      <c r="U30" s="269">
        <f t="shared" si="4"/>
        <v>0</v>
      </c>
      <c r="V30" s="269">
        <f t="shared" si="5"/>
        <v>0</v>
      </c>
      <c r="W30" s="262">
        <f t="shared" si="6"/>
        <v>0</v>
      </c>
      <c r="X30" s="55"/>
      <c r="Y30" s="224"/>
      <c r="Z30" s="31">
        <v>24</v>
      </c>
    </row>
    <row r="31" spans="1:26" ht="10.5" hidden="1" customHeight="1" outlineLevel="2" x14ac:dyDescent="0.2">
      <c r="A31" s="251" t="s">
        <v>377</v>
      </c>
      <c r="B31" s="251" t="s">
        <v>378</v>
      </c>
      <c r="C31" s="251">
        <v>301</v>
      </c>
      <c r="D31" s="251" t="s">
        <v>231</v>
      </c>
      <c r="E31" s="252" t="s">
        <v>37</v>
      </c>
      <c r="F31" s="253" t="s">
        <v>290</v>
      </c>
      <c r="G31" s="267">
        <v>1</v>
      </c>
      <c r="H31" s="254">
        <v>4</v>
      </c>
      <c r="I31" s="259">
        <v>0</v>
      </c>
      <c r="J31" s="259"/>
      <c r="K31" s="259"/>
      <c r="L31" s="259"/>
      <c r="M31" s="260">
        <f t="shared" si="0"/>
        <v>0</v>
      </c>
      <c r="N31" s="255">
        <v>1600</v>
      </c>
      <c r="O31" s="255">
        <v>1600</v>
      </c>
      <c r="P31" s="255">
        <v>1600</v>
      </c>
      <c r="Q31" s="255">
        <v>1600</v>
      </c>
      <c r="R31" s="262">
        <f t="shared" si="1"/>
        <v>0</v>
      </c>
      <c r="S31" s="269">
        <f t="shared" si="2"/>
        <v>0</v>
      </c>
      <c r="T31" s="269">
        <f t="shared" si="3"/>
        <v>0</v>
      </c>
      <c r="U31" s="269">
        <f t="shared" si="4"/>
        <v>0</v>
      </c>
      <c r="V31" s="269">
        <f t="shared" si="5"/>
        <v>0</v>
      </c>
      <c r="W31" s="262">
        <f t="shared" si="6"/>
        <v>0</v>
      </c>
      <c r="X31" s="55"/>
      <c r="Y31" s="224"/>
      <c r="Z31" s="31">
        <v>25</v>
      </c>
    </row>
    <row r="32" spans="1:26" ht="10.5" hidden="1" customHeight="1" outlineLevel="2" x14ac:dyDescent="0.2">
      <c r="A32" s="251" t="s">
        <v>375</v>
      </c>
      <c r="B32" s="251" t="s">
        <v>376</v>
      </c>
      <c r="C32" s="251" t="s">
        <v>232</v>
      </c>
      <c r="D32" s="251" t="s">
        <v>233</v>
      </c>
      <c r="E32" s="252" t="s">
        <v>291</v>
      </c>
      <c r="F32" s="253" t="s">
        <v>108</v>
      </c>
      <c r="G32" s="267">
        <v>1</v>
      </c>
      <c r="H32" s="254">
        <v>5</v>
      </c>
      <c r="I32" s="259">
        <v>21</v>
      </c>
      <c r="J32" s="259">
        <v>9</v>
      </c>
      <c r="K32" s="259">
        <v>10</v>
      </c>
      <c r="L32" s="259">
        <v>5</v>
      </c>
      <c r="M32" s="260">
        <f t="shared" si="0"/>
        <v>45</v>
      </c>
      <c r="N32" s="255">
        <v>1990</v>
      </c>
      <c r="O32" s="255">
        <v>1990</v>
      </c>
      <c r="P32" s="255">
        <v>1990</v>
      </c>
      <c r="Q32" s="255">
        <v>1990</v>
      </c>
      <c r="R32" s="262">
        <f t="shared" si="1"/>
        <v>89550</v>
      </c>
      <c r="S32" s="269">
        <f t="shared" si="2"/>
        <v>41790</v>
      </c>
      <c r="T32" s="269">
        <f t="shared" si="3"/>
        <v>17910</v>
      </c>
      <c r="U32" s="269">
        <f t="shared" si="4"/>
        <v>19900</v>
      </c>
      <c r="V32" s="269">
        <f t="shared" si="5"/>
        <v>9950</v>
      </c>
      <c r="W32" s="262">
        <f t="shared" si="6"/>
        <v>89550</v>
      </c>
      <c r="X32" s="55" t="s">
        <v>582</v>
      </c>
      <c r="Y32" s="224"/>
      <c r="Z32" s="31">
        <v>26</v>
      </c>
    </row>
    <row r="33" spans="1:26" ht="10.5" hidden="1" customHeight="1" outlineLevel="2" x14ac:dyDescent="0.2">
      <c r="A33" s="251" t="s">
        <v>375</v>
      </c>
      <c r="B33" s="251" t="s">
        <v>376</v>
      </c>
      <c r="C33" s="251" t="s">
        <v>232</v>
      </c>
      <c r="D33" s="251" t="s">
        <v>234</v>
      </c>
      <c r="E33" s="252" t="s">
        <v>16</v>
      </c>
      <c r="F33" s="253" t="s">
        <v>108</v>
      </c>
      <c r="G33" s="267">
        <v>1</v>
      </c>
      <c r="H33" s="254">
        <v>5</v>
      </c>
      <c r="I33" s="259">
        <v>269</v>
      </c>
      <c r="J33" s="259">
        <v>209</v>
      </c>
      <c r="K33" s="259">
        <v>127</v>
      </c>
      <c r="L33" s="259">
        <v>91</v>
      </c>
      <c r="M33" s="260">
        <f t="shared" si="0"/>
        <v>696</v>
      </c>
      <c r="N33" s="255">
        <v>1990</v>
      </c>
      <c r="O33" s="255">
        <v>1990</v>
      </c>
      <c r="P33" s="255">
        <v>1990</v>
      </c>
      <c r="Q33" s="255">
        <v>1990</v>
      </c>
      <c r="R33" s="262">
        <f t="shared" si="1"/>
        <v>1385040</v>
      </c>
      <c r="S33" s="269">
        <f t="shared" si="2"/>
        <v>535310</v>
      </c>
      <c r="T33" s="269">
        <f t="shared" si="3"/>
        <v>415910</v>
      </c>
      <c r="U33" s="269">
        <f t="shared" si="4"/>
        <v>252730</v>
      </c>
      <c r="V33" s="269">
        <f t="shared" si="5"/>
        <v>181090</v>
      </c>
      <c r="W33" s="262">
        <f t="shared" si="6"/>
        <v>1385040</v>
      </c>
      <c r="X33" s="55" t="s">
        <v>582</v>
      </c>
      <c r="Y33" s="409"/>
      <c r="Z33" s="31">
        <v>27</v>
      </c>
    </row>
    <row r="34" spans="1:26" ht="10.5" hidden="1" customHeight="1" outlineLevel="2" x14ac:dyDescent="0.2">
      <c r="A34" s="251" t="s">
        <v>375</v>
      </c>
      <c r="B34" s="251" t="s">
        <v>376</v>
      </c>
      <c r="C34" s="251" t="s">
        <v>232</v>
      </c>
      <c r="D34" s="251" t="s">
        <v>235</v>
      </c>
      <c r="E34" s="252" t="s">
        <v>17</v>
      </c>
      <c r="F34" s="253" t="s">
        <v>290</v>
      </c>
      <c r="G34" s="267">
        <v>1</v>
      </c>
      <c r="H34" s="254">
        <v>5</v>
      </c>
      <c r="I34" s="259">
        <v>57</v>
      </c>
      <c r="J34" s="259">
        <v>66</v>
      </c>
      <c r="K34" s="259">
        <v>54</v>
      </c>
      <c r="L34" s="259">
        <v>61</v>
      </c>
      <c r="M34" s="260">
        <f t="shared" si="0"/>
        <v>238</v>
      </c>
      <c r="N34" s="255">
        <v>1990</v>
      </c>
      <c r="O34" s="255">
        <v>1990</v>
      </c>
      <c r="P34" s="255">
        <v>1990</v>
      </c>
      <c r="Q34" s="255">
        <v>1990</v>
      </c>
      <c r="R34" s="262">
        <f t="shared" si="1"/>
        <v>473620</v>
      </c>
      <c r="S34" s="269">
        <f t="shared" si="2"/>
        <v>113430</v>
      </c>
      <c r="T34" s="269">
        <f t="shared" si="3"/>
        <v>131340</v>
      </c>
      <c r="U34" s="269">
        <f t="shared" si="4"/>
        <v>107460</v>
      </c>
      <c r="V34" s="269">
        <f t="shared" si="5"/>
        <v>121390</v>
      </c>
      <c r="W34" s="262">
        <f t="shared" si="6"/>
        <v>473620</v>
      </c>
      <c r="X34" s="55" t="s">
        <v>582</v>
      </c>
      <c r="Y34" s="409"/>
      <c r="Z34" s="31">
        <v>28</v>
      </c>
    </row>
    <row r="35" spans="1:26" ht="10.5" hidden="1" customHeight="1" outlineLevel="2" x14ac:dyDescent="0.2">
      <c r="A35" s="251" t="s">
        <v>375</v>
      </c>
      <c r="B35" s="251" t="s">
        <v>376</v>
      </c>
      <c r="C35" s="251" t="s">
        <v>232</v>
      </c>
      <c r="D35" s="251" t="s">
        <v>236</v>
      </c>
      <c r="E35" s="252" t="s">
        <v>17</v>
      </c>
      <c r="F35" s="253" t="s">
        <v>290</v>
      </c>
      <c r="G35" s="267">
        <v>1</v>
      </c>
      <c r="H35" s="254">
        <v>5</v>
      </c>
      <c r="I35" s="259">
        <v>0</v>
      </c>
      <c r="J35" s="259">
        <v>1</v>
      </c>
      <c r="K35" s="259">
        <v>0</v>
      </c>
      <c r="L35" s="259">
        <v>0</v>
      </c>
      <c r="M35" s="260">
        <f t="shared" si="0"/>
        <v>1</v>
      </c>
      <c r="N35" s="255">
        <v>1990</v>
      </c>
      <c r="O35" s="255">
        <v>1990</v>
      </c>
      <c r="P35" s="255">
        <v>1990</v>
      </c>
      <c r="Q35" s="255">
        <v>1990</v>
      </c>
      <c r="R35" s="262">
        <f t="shared" si="1"/>
        <v>1990</v>
      </c>
      <c r="S35" s="269">
        <f t="shared" si="2"/>
        <v>0</v>
      </c>
      <c r="T35" s="269">
        <f t="shared" si="3"/>
        <v>1990</v>
      </c>
      <c r="U35" s="269">
        <f t="shared" si="4"/>
        <v>0</v>
      </c>
      <c r="V35" s="269">
        <f t="shared" si="5"/>
        <v>0</v>
      </c>
      <c r="W35" s="262">
        <f t="shared" si="6"/>
        <v>1990</v>
      </c>
      <c r="X35" s="55" t="s">
        <v>582</v>
      </c>
      <c r="Y35" s="224"/>
      <c r="Z35" s="31">
        <v>29</v>
      </c>
    </row>
    <row r="36" spans="1:26" ht="10.5" hidden="1" customHeight="1" outlineLevel="2" x14ac:dyDescent="0.2">
      <c r="A36" s="251" t="s">
        <v>375</v>
      </c>
      <c r="B36" s="251" t="s">
        <v>376</v>
      </c>
      <c r="C36" s="251" t="s">
        <v>232</v>
      </c>
      <c r="D36" s="251" t="s">
        <v>237</v>
      </c>
      <c r="E36" s="252" t="s">
        <v>37</v>
      </c>
      <c r="F36" s="253" t="s">
        <v>290</v>
      </c>
      <c r="G36" s="267">
        <v>1</v>
      </c>
      <c r="H36" s="254">
        <v>5</v>
      </c>
      <c r="I36" s="259">
        <v>7</v>
      </c>
      <c r="J36" s="259">
        <v>8</v>
      </c>
      <c r="K36" s="259">
        <v>7</v>
      </c>
      <c r="L36" s="266">
        <v>7</v>
      </c>
      <c r="M36" s="260">
        <f t="shared" si="0"/>
        <v>29</v>
      </c>
      <c r="N36" s="255">
        <v>1990</v>
      </c>
      <c r="O36" s="255">
        <v>1990</v>
      </c>
      <c r="P36" s="255">
        <v>1990</v>
      </c>
      <c r="Q36" s="255">
        <v>1990</v>
      </c>
      <c r="R36" s="262">
        <f t="shared" si="1"/>
        <v>57710</v>
      </c>
      <c r="S36" s="269">
        <f t="shared" si="2"/>
        <v>13930</v>
      </c>
      <c r="T36" s="269">
        <f t="shared" si="3"/>
        <v>15920</v>
      </c>
      <c r="U36" s="269">
        <f t="shared" si="4"/>
        <v>13930</v>
      </c>
      <c r="V36" s="269">
        <f t="shared" si="5"/>
        <v>13930</v>
      </c>
      <c r="W36" s="262">
        <f t="shared" si="6"/>
        <v>57710</v>
      </c>
      <c r="X36" s="55" t="s">
        <v>582</v>
      </c>
      <c r="Y36" s="224"/>
      <c r="Z36" s="31">
        <v>30</v>
      </c>
    </row>
    <row r="37" spans="1:26" ht="12.75" hidden="1" outlineLevel="2" x14ac:dyDescent="0.2">
      <c r="A37" s="251" t="s">
        <v>375</v>
      </c>
      <c r="B37" s="251" t="s">
        <v>376</v>
      </c>
      <c r="C37" s="251" t="s">
        <v>606</v>
      </c>
      <c r="D37" s="251" t="s">
        <v>607</v>
      </c>
      <c r="E37" s="252" t="s">
        <v>16</v>
      </c>
      <c r="F37" s="253" t="s">
        <v>108</v>
      </c>
      <c r="G37" s="270">
        <v>1</v>
      </c>
      <c r="H37" s="254">
        <v>5</v>
      </c>
      <c r="I37" s="259"/>
      <c r="J37" s="259"/>
      <c r="K37" s="259">
        <v>0</v>
      </c>
      <c r="L37" s="259">
        <v>0</v>
      </c>
      <c r="M37" s="260">
        <f t="shared" si="0"/>
        <v>0</v>
      </c>
      <c r="N37" s="255"/>
      <c r="O37" s="255"/>
      <c r="P37" s="255">
        <v>2014</v>
      </c>
      <c r="Q37" s="255">
        <v>2014</v>
      </c>
      <c r="R37" s="262">
        <f t="shared" ref="R37:R41" si="13">SUMPRODUCT(I37:L37,N37:Q37)</f>
        <v>0</v>
      </c>
      <c r="S37" s="269">
        <f t="shared" ref="S37:S41" si="14">IF(N37&gt;prisgrense,I37*prisgrense,I37*N37)</f>
        <v>0</v>
      </c>
      <c r="T37" s="269">
        <f t="shared" ref="T37:T41" si="15">IF(O37&gt;prisgrense,J37*prisgrense,J37*O37)</f>
        <v>0</v>
      </c>
      <c r="U37" s="269">
        <f t="shared" ref="U37:U41" si="16">IF(P37&gt;prisgrense,K37*prisgrense,K37*P37)</f>
        <v>0</v>
      </c>
      <c r="V37" s="269">
        <f t="shared" ref="V37:V41" si="17">IF(Q37&gt;prisgrense,L37*prisgrense,L37*Q37)</f>
        <v>0</v>
      </c>
      <c r="W37" s="262">
        <f t="shared" ref="W37:W41" si="18">SUM(S37:V37)</f>
        <v>0</v>
      </c>
      <c r="X37" s="55" t="s">
        <v>583</v>
      </c>
      <c r="Y37" s="224"/>
    </row>
    <row r="38" spans="1:26" ht="12.75" hidden="1" outlineLevel="2" x14ac:dyDescent="0.2">
      <c r="A38" s="251" t="s">
        <v>375</v>
      </c>
      <c r="B38" s="251" t="s">
        <v>376</v>
      </c>
      <c r="C38" s="251" t="s">
        <v>606</v>
      </c>
      <c r="D38" s="251" t="s">
        <v>608</v>
      </c>
      <c r="E38" s="252" t="s">
        <v>16</v>
      </c>
      <c r="F38" s="253" t="s">
        <v>108</v>
      </c>
      <c r="G38" s="270">
        <v>1</v>
      </c>
      <c r="H38" s="254">
        <v>5</v>
      </c>
      <c r="I38" s="259"/>
      <c r="J38" s="259"/>
      <c r="K38" s="259">
        <v>0</v>
      </c>
      <c r="L38" s="259">
        <v>0</v>
      </c>
      <c r="M38" s="260">
        <f t="shared" si="0"/>
        <v>0</v>
      </c>
      <c r="N38" s="255"/>
      <c r="O38" s="255"/>
      <c r="P38" s="255">
        <v>2014</v>
      </c>
      <c r="Q38" s="255">
        <v>2014</v>
      </c>
      <c r="R38" s="262">
        <f t="shared" si="13"/>
        <v>0</v>
      </c>
      <c r="S38" s="269">
        <f t="shared" si="14"/>
        <v>0</v>
      </c>
      <c r="T38" s="269">
        <f t="shared" si="15"/>
        <v>0</v>
      </c>
      <c r="U38" s="269">
        <f t="shared" si="16"/>
        <v>0</v>
      </c>
      <c r="V38" s="269">
        <f t="shared" si="17"/>
        <v>0</v>
      </c>
      <c r="W38" s="262">
        <f t="shared" si="18"/>
        <v>0</v>
      </c>
      <c r="X38" s="55" t="s">
        <v>583</v>
      </c>
      <c r="Y38" s="224"/>
    </row>
    <row r="39" spans="1:26" ht="12.75" hidden="1" outlineLevel="2" x14ac:dyDescent="0.2">
      <c r="A39" s="251" t="s">
        <v>375</v>
      </c>
      <c r="B39" s="251" t="s">
        <v>376</v>
      </c>
      <c r="C39" s="251" t="s">
        <v>606</v>
      </c>
      <c r="D39" s="251" t="s">
        <v>609</v>
      </c>
      <c r="E39" s="252" t="s">
        <v>17</v>
      </c>
      <c r="F39" s="253" t="s">
        <v>290</v>
      </c>
      <c r="G39" s="270">
        <v>1</v>
      </c>
      <c r="H39" s="254">
        <v>5</v>
      </c>
      <c r="I39" s="259"/>
      <c r="J39" s="259"/>
      <c r="K39" s="259">
        <v>0</v>
      </c>
      <c r="L39" s="259">
        <v>0</v>
      </c>
      <c r="M39" s="260">
        <f t="shared" si="0"/>
        <v>0</v>
      </c>
      <c r="N39" s="255"/>
      <c r="O39" s="255"/>
      <c r="P39" s="255">
        <v>2014</v>
      </c>
      <c r="Q39" s="255">
        <v>2014</v>
      </c>
      <c r="R39" s="262">
        <f t="shared" si="13"/>
        <v>0</v>
      </c>
      <c r="S39" s="269">
        <f t="shared" si="14"/>
        <v>0</v>
      </c>
      <c r="T39" s="269">
        <f t="shared" si="15"/>
        <v>0</v>
      </c>
      <c r="U39" s="269">
        <f t="shared" si="16"/>
        <v>0</v>
      </c>
      <c r="V39" s="269">
        <f t="shared" si="17"/>
        <v>0</v>
      </c>
      <c r="W39" s="262">
        <f t="shared" si="18"/>
        <v>0</v>
      </c>
      <c r="X39" s="55" t="s">
        <v>583</v>
      </c>
      <c r="Y39" s="224"/>
    </row>
    <row r="40" spans="1:26" ht="12.75" hidden="1" outlineLevel="2" x14ac:dyDescent="0.2">
      <c r="A40" s="251" t="s">
        <v>375</v>
      </c>
      <c r="B40" s="251" t="s">
        <v>376</v>
      </c>
      <c r="C40" s="251" t="s">
        <v>606</v>
      </c>
      <c r="D40" s="251" t="s">
        <v>610</v>
      </c>
      <c r="E40" s="252" t="s">
        <v>17</v>
      </c>
      <c r="F40" s="253" t="s">
        <v>290</v>
      </c>
      <c r="G40" s="270">
        <v>1</v>
      </c>
      <c r="H40" s="254">
        <v>5</v>
      </c>
      <c r="I40" s="259"/>
      <c r="J40" s="259"/>
      <c r="K40" s="259">
        <v>0</v>
      </c>
      <c r="L40" s="259">
        <v>0</v>
      </c>
      <c r="M40" s="260">
        <f t="shared" si="0"/>
        <v>0</v>
      </c>
      <c r="N40" s="255"/>
      <c r="O40" s="255"/>
      <c r="P40" s="255">
        <v>2014</v>
      </c>
      <c r="Q40" s="255">
        <v>2014</v>
      </c>
      <c r="R40" s="262">
        <f t="shared" si="13"/>
        <v>0</v>
      </c>
      <c r="S40" s="269">
        <f t="shared" si="14"/>
        <v>0</v>
      </c>
      <c r="T40" s="269">
        <f t="shared" si="15"/>
        <v>0</v>
      </c>
      <c r="U40" s="269">
        <f t="shared" si="16"/>
        <v>0</v>
      </c>
      <c r="V40" s="269">
        <f t="shared" si="17"/>
        <v>0</v>
      </c>
      <c r="W40" s="262">
        <f t="shared" si="18"/>
        <v>0</v>
      </c>
      <c r="X40" s="55" t="s">
        <v>583</v>
      </c>
      <c r="Y40" s="224"/>
    </row>
    <row r="41" spans="1:26" ht="12.75" hidden="1" outlineLevel="2" x14ac:dyDescent="0.2">
      <c r="A41" s="251" t="s">
        <v>375</v>
      </c>
      <c r="B41" s="251" t="s">
        <v>376</v>
      </c>
      <c r="C41" s="251" t="s">
        <v>606</v>
      </c>
      <c r="D41" s="251" t="s">
        <v>611</v>
      </c>
      <c r="E41" s="252" t="s">
        <v>16</v>
      </c>
      <c r="F41" s="253" t="s">
        <v>106</v>
      </c>
      <c r="G41" s="270">
        <v>1</v>
      </c>
      <c r="H41" s="254">
        <v>5</v>
      </c>
      <c r="I41" s="259"/>
      <c r="J41" s="259"/>
      <c r="K41" s="259">
        <v>0</v>
      </c>
      <c r="L41" s="259">
        <v>0</v>
      </c>
      <c r="M41" s="260">
        <f t="shared" si="0"/>
        <v>0</v>
      </c>
      <c r="N41" s="255"/>
      <c r="O41" s="255"/>
      <c r="P41" s="255">
        <v>2014</v>
      </c>
      <c r="Q41" s="255">
        <v>2014</v>
      </c>
      <c r="R41" s="262">
        <f t="shared" si="13"/>
        <v>0</v>
      </c>
      <c r="S41" s="269">
        <f t="shared" si="14"/>
        <v>0</v>
      </c>
      <c r="T41" s="269">
        <f t="shared" si="15"/>
        <v>0</v>
      </c>
      <c r="U41" s="269">
        <f t="shared" si="16"/>
        <v>0</v>
      </c>
      <c r="V41" s="269">
        <f t="shared" si="17"/>
        <v>0</v>
      </c>
      <c r="W41" s="262">
        <f t="shared" si="18"/>
        <v>0</v>
      </c>
      <c r="X41" s="55" t="s">
        <v>583</v>
      </c>
      <c r="Y41" s="224"/>
    </row>
    <row r="42" spans="1:26" ht="10.5" hidden="1" customHeight="1" outlineLevel="2" x14ac:dyDescent="0.2">
      <c r="A42" s="251" t="s">
        <v>377</v>
      </c>
      <c r="B42" s="251" t="s">
        <v>378</v>
      </c>
      <c r="C42" s="251">
        <v>501</v>
      </c>
      <c r="D42" s="251" t="s">
        <v>238</v>
      </c>
      <c r="E42" s="252" t="s">
        <v>291</v>
      </c>
      <c r="F42" s="253" t="s">
        <v>561</v>
      </c>
      <c r="G42" s="267">
        <v>1</v>
      </c>
      <c r="H42" s="254">
        <v>6</v>
      </c>
      <c r="I42" s="259">
        <v>0</v>
      </c>
      <c r="J42" s="259">
        <v>0</v>
      </c>
      <c r="K42" s="259"/>
      <c r="L42" s="266">
        <v>1</v>
      </c>
      <c r="M42" s="260">
        <f t="shared" si="0"/>
        <v>1</v>
      </c>
      <c r="N42" s="255">
        <v>2200</v>
      </c>
      <c r="O42" s="255">
        <v>2200</v>
      </c>
      <c r="P42" s="255">
        <v>2200</v>
      </c>
      <c r="Q42" s="255">
        <v>2200</v>
      </c>
      <c r="R42" s="262">
        <f t="shared" si="1"/>
        <v>2200</v>
      </c>
      <c r="S42" s="269">
        <f t="shared" si="2"/>
        <v>0</v>
      </c>
      <c r="T42" s="269">
        <f t="shared" si="3"/>
        <v>0</v>
      </c>
      <c r="U42" s="269">
        <f t="shared" si="4"/>
        <v>0</v>
      </c>
      <c r="V42" s="269">
        <f t="shared" si="5"/>
        <v>2200</v>
      </c>
      <c r="W42" s="262">
        <f t="shared" si="6"/>
        <v>2200</v>
      </c>
      <c r="X42" s="55"/>
      <c r="Y42" s="224"/>
      <c r="Z42" s="31">
        <v>31</v>
      </c>
    </row>
    <row r="43" spans="1:26" ht="10.5" hidden="1" customHeight="1" outlineLevel="2" x14ac:dyDescent="0.2">
      <c r="A43" s="251" t="s">
        <v>377</v>
      </c>
      <c r="B43" s="251" t="s">
        <v>378</v>
      </c>
      <c r="C43" s="251">
        <v>501</v>
      </c>
      <c r="D43" s="251" t="s">
        <v>239</v>
      </c>
      <c r="E43" s="252" t="s">
        <v>16</v>
      </c>
      <c r="F43" s="253" t="s">
        <v>108</v>
      </c>
      <c r="G43" s="267">
        <v>1</v>
      </c>
      <c r="H43" s="254">
        <v>6</v>
      </c>
      <c r="I43" s="259">
        <v>44</v>
      </c>
      <c r="J43" s="259">
        <v>62</v>
      </c>
      <c r="K43" s="259">
        <v>53</v>
      </c>
      <c r="L43" s="266">
        <v>90</v>
      </c>
      <c r="M43" s="260">
        <f t="shared" si="0"/>
        <v>249</v>
      </c>
      <c r="N43" s="255">
        <v>2200</v>
      </c>
      <c r="O43" s="255">
        <v>2200</v>
      </c>
      <c r="P43" s="255">
        <v>2200</v>
      </c>
      <c r="Q43" s="255">
        <v>2200</v>
      </c>
      <c r="R43" s="262">
        <f t="shared" si="1"/>
        <v>547800</v>
      </c>
      <c r="S43" s="269">
        <f t="shared" si="2"/>
        <v>96800</v>
      </c>
      <c r="T43" s="269">
        <f t="shared" si="3"/>
        <v>136400</v>
      </c>
      <c r="U43" s="269">
        <f t="shared" si="4"/>
        <v>116600</v>
      </c>
      <c r="V43" s="269">
        <f t="shared" si="5"/>
        <v>198000</v>
      </c>
      <c r="W43" s="262">
        <f t="shared" si="6"/>
        <v>547800</v>
      </c>
      <c r="X43" s="55"/>
      <c r="Y43" s="224"/>
      <c r="Z43" s="31">
        <v>32</v>
      </c>
    </row>
    <row r="44" spans="1:26" ht="10.5" hidden="1" customHeight="1" outlineLevel="2" x14ac:dyDescent="0.2">
      <c r="A44" s="251" t="s">
        <v>377</v>
      </c>
      <c r="B44" s="251" t="s">
        <v>378</v>
      </c>
      <c r="C44" s="251">
        <v>501</v>
      </c>
      <c r="D44" s="251" t="s">
        <v>240</v>
      </c>
      <c r="E44" s="252" t="s">
        <v>17</v>
      </c>
      <c r="F44" s="253" t="s">
        <v>290</v>
      </c>
      <c r="G44" s="267">
        <v>1</v>
      </c>
      <c r="H44" s="254">
        <v>6</v>
      </c>
      <c r="I44" s="259">
        <v>0</v>
      </c>
      <c r="J44" s="259">
        <v>0</v>
      </c>
      <c r="K44" s="259"/>
      <c r="L44" s="266"/>
      <c r="M44" s="260">
        <f t="shared" si="0"/>
        <v>0</v>
      </c>
      <c r="N44" s="255">
        <v>2200</v>
      </c>
      <c r="O44" s="255">
        <v>2200</v>
      </c>
      <c r="P44" s="255">
        <v>2200</v>
      </c>
      <c r="Q44" s="255">
        <v>2200</v>
      </c>
      <c r="R44" s="262">
        <f t="shared" si="1"/>
        <v>0</v>
      </c>
      <c r="S44" s="269">
        <f t="shared" si="2"/>
        <v>0</v>
      </c>
      <c r="T44" s="269">
        <f t="shared" si="3"/>
        <v>0</v>
      </c>
      <c r="U44" s="269">
        <f t="shared" si="4"/>
        <v>0</v>
      </c>
      <c r="V44" s="269">
        <f t="shared" si="5"/>
        <v>0</v>
      </c>
      <c r="W44" s="262">
        <f t="shared" si="6"/>
        <v>0</v>
      </c>
      <c r="X44" s="55"/>
      <c r="Y44" s="55"/>
      <c r="Z44" s="31">
        <v>33</v>
      </c>
    </row>
    <row r="45" spans="1:26" ht="10.5" hidden="1" customHeight="1" outlineLevel="2" x14ac:dyDescent="0.2">
      <c r="A45" s="251" t="s">
        <v>377</v>
      </c>
      <c r="B45" s="251" t="s">
        <v>378</v>
      </c>
      <c r="C45" s="251">
        <v>501</v>
      </c>
      <c r="D45" s="251" t="s">
        <v>241</v>
      </c>
      <c r="E45" s="252" t="s">
        <v>17</v>
      </c>
      <c r="F45" s="253" t="s">
        <v>290</v>
      </c>
      <c r="G45" s="267">
        <v>1</v>
      </c>
      <c r="H45" s="254">
        <v>6</v>
      </c>
      <c r="I45" s="259">
        <v>0</v>
      </c>
      <c r="J45" s="259">
        <v>0</v>
      </c>
      <c r="K45" s="259"/>
      <c r="L45" s="266"/>
      <c r="M45" s="260">
        <f t="shared" si="0"/>
        <v>0</v>
      </c>
      <c r="N45" s="255">
        <v>2200</v>
      </c>
      <c r="O45" s="255">
        <v>2200</v>
      </c>
      <c r="P45" s="255">
        <v>2200</v>
      </c>
      <c r="Q45" s="255">
        <v>2200</v>
      </c>
      <c r="R45" s="262">
        <f t="shared" si="1"/>
        <v>0</v>
      </c>
      <c r="S45" s="269">
        <f t="shared" si="2"/>
        <v>0</v>
      </c>
      <c r="T45" s="269">
        <f t="shared" si="3"/>
        <v>0</v>
      </c>
      <c r="U45" s="269">
        <f t="shared" si="4"/>
        <v>0</v>
      </c>
      <c r="V45" s="269">
        <f t="shared" si="5"/>
        <v>0</v>
      </c>
      <c r="W45" s="262">
        <f t="shared" si="6"/>
        <v>0</v>
      </c>
      <c r="X45" s="55"/>
      <c r="Y45" s="55"/>
      <c r="Z45" s="31">
        <v>34</v>
      </c>
    </row>
    <row r="46" spans="1:26" ht="10.5" hidden="1" customHeight="1" outlineLevel="2" x14ac:dyDescent="0.2">
      <c r="A46" s="251" t="s">
        <v>377</v>
      </c>
      <c r="B46" s="251" t="s">
        <v>378</v>
      </c>
      <c r="C46" s="251">
        <v>501</v>
      </c>
      <c r="D46" s="251" t="s">
        <v>242</v>
      </c>
      <c r="E46" s="252" t="s">
        <v>37</v>
      </c>
      <c r="F46" s="253" t="s">
        <v>290</v>
      </c>
      <c r="G46" s="267">
        <v>1</v>
      </c>
      <c r="H46" s="254">
        <v>6</v>
      </c>
      <c r="I46" s="259">
        <v>40</v>
      </c>
      <c r="J46" s="259">
        <v>31</v>
      </c>
      <c r="K46" s="259">
        <v>11</v>
      </c>
      <c r="L46" s="259">
        <v>11</v>
      </c>
      <c r="M46" s="260">
        <f t="shared" si="0"/>
        <v>93</v>
      </c>
      <c r="N46" s="255">
        <v>2200</v>
      </c>
      <c r="O46" s="255">
        <v>2200</v>
      </c>
      <c r="P46" s="255">
        <v>2200</v>
      </c>
      <c r="Q46" s="255">
        <v>2200</v>
      </c>
      <c r="R46" s="262">
        <f t="shared" si="1"/>
        <v>204600</v>
      </c>
      <c r="S46" s="269">
        <f t="shared" si="2"/>
        <v>88000</v>
      </c>
      <c r="T46" s="269">
        <f t="shared" si="3"/>
        <v>68200</v>
      </c>
      <c r="U46" s="269">
        <f t="shared" si="4"/>
        <v>24200</v>
      </c>
      <c r="V46" s="269">
        <f t="shared" si="5"/>
        <v>24200</v>
      </c>
      <c r="W46" s="262">
        <f t="shared" si="6"/>
        <v>204600</v>
      </c>
      <c r="X46" s="55"/>
      <c r="Y46" s="55"/>
      <c r="Z46" s="31">
        <v>35</v>
      </c>
    </row>
    <row r="47" spans="1:26" ht="10.5" hidden="1" customHeight="1" outlineLevel="2" x14ac:dyDescent="0.2">
      <c r="A47" s="251" t="s">
        <v>377</v>
      </c>
      <c r="B47" s="251" t="s">
        <v>378</v>
      </c>
      <c r="C47" s="251">
        <v>501</v>
      </c>
      <c r="D47" s="251" t="s">
        <v>243</v>
      </c>
      <c r="E47" s="252" t="s">
        <v>16</v>
      </c>
      <c r="F47" s="253" t="s">
        <v>106</v>
      </c>
      <c r="G47" s="267">
        <v>1</v>
      </c>
      <c r="H47" s="254">
        <v>6</v>
      </c>
      <c r="I47" s="268">
        <v>0</v>
      </c>
      <c r="J47" s="259">
        <v>0</v>
      </c>
      <c r="K47" s="259"/>
      <c r="L47" s="259"/>
      <c r="M47" s="260">
        <f>SUM(I47:L47)</f>
        <v>0</v>
      </c>
      <c r="N47" s="255">
        <v>2200</v>
      </c>
      <c r="O47" s="255">
        <v>2200</v>
      </c>
      <c r="P47" s="255">
        <v>2200</v>
      </c>
      <c r="Q47" s="255">
        <v>2200</v>
      </c>
      <c r="R47" s="262">
        <f t="shared" ref="R47:R78" si="19">SUMPRODUCT(I47:L47,N47:Q47)</f>
        <v>0</v>
      </c>
      <c r="S47" s="269">
        <f t="shared" ref="S47:S78" si="20">IF(N47&gt;prisgrense,I47*prisgrense,I47*N47)</f>
        <v>0</v>
      </c>
      <c r="T47" s="269">
        <f t="shared" ref="T47:T78" si="21">IF(O47&gt;prisgrense,J47*prisgrense,J47*O47)</f>
        <v>0</v>
      </c>
      <c r="U47" s="269">
        <f t="shared" ref="U47:U78" si="22">IF(P47&gt;prisgrense,K47*prisgrense,K47*P47)</f>
        <v>0</v>
      </c>
      <c r="V47" s="269">
        <f t="shared" ref="V47:V78" si="23">IF(Q47&gt;prisgrense,L47*prisgrense,L47*Q47)</f>
        <v>0</v>
      </c>
      <c r="W47" s="262">
        <f>SUM(S47:V47)</f>
        <v>0</v>
      </c>
      <c r="X47" s="55"/>
      <c r="Y47" s="224"/>
      <c r="Z47" s="31">
        <v>36</v>
      </c>
    </row>
    <row r="48" spans="1:26" ht="10.5" hidden="1" customHeight="1" outlineLevel="2" x14ac:dyDescent="0.2">
      <c r="A48" s="251" t="s">
        <v>1</v>
      </c>
      <c r="B48" s="251" t="s">
        <v>379</v>
      </c>
      <c r="C48" s="251" t="s">
        <v>244</v>
      </c>
      <c r="D48" s="251" t="s">
        <v>245</v>
      </c>
      <c r="E48" s="252" t="s">
        <v>16</v>
      </c>
      <c r="F48" s="253" t="s">
        <v>108</v>
      </c>
      <c r="G48" s="267">
        <v>1</v>
      </c>
      <c r="H48" s="254">
        <v>7</v>
      </c>
      <c r="I48" s="268">
        <v>1</v>
      </c>
      <c r="J48" s="264"/>
      <c r="K48" s="259">
        <v>2</v>
      </c>
      <c r="L48" s="259"/>
      <c r="M48" s="260">
        <f t="shared" si="0"/>
        <v>3</v>
      </c>
      <c r="N48" s="255">
        <v>2100</v>
      </c>
      <c r="O48" s="255">
        <v>2100</v>
      </c>
      <c r="P48" s="255">
        <v>2100</v>
      </c>
      <c r="Q48" s="255">
        <v>2100</v>
      </c>
      <c r="R48" s="262">
        <f t="shared" si="19"/>
        <v>6300</v>
      </c>
      <c r="S48" s="269">
        <f t="shared" si="20"/>
        <v>2100</v>
      </c>
      <c r="T48" s="269">
        <f t="shared" si="21"/>
        <v>0</v>
      </c>
      <c r="U48" s="269">
        <f t="shared" si="22"/>
        <v>4200</v>
      </c>
      <c r="V48" s="269">
        <f t="shared" si="23"/>
        <v>0</v>
      </c>
      <c r="W48" s="262">
        <f t="shared" si="6"/>
        <v>6300</v>
      </c>
      <c r="X48" s="55"/>
      <c r="Y48" s="224"/>
      <c r="Z48" s="31">
        <v>37</v>
      </c>
    </row>
    <row r="49" spans="1:26" ht="10.5" hidden="1" customHeight="1" outlineLevel="2" x14ac:dyDescent="0.2">
      <c r="A49" s="251" t="s">
        <v>1</v>
      </c>
      <c r="B49" s="251" t="s">
        <v>379</v>
      </c>
      <c r="C49" s="251" t="s">
        <v>244</v>
      </c>
      <c r="D49" s="251" t="s">
        <v>246</v>
      </c>
      <c r="E49" s="252" t="s">
        <v>16</v>
      </c>
      <c r="F49" s="253" t="s">
        <v>106</v>
      </c>
      <c r="G49" s="267">
        <v>1</v>
      </c>
      <c r="H49" s="254">
        <v>7</v>
      </c>
      <c r="I49" s="268"/>
      <c r="J49" s="264"/>
      <c r="K49" s="259"/>
      <c r="L49" s="259"/>
      <c r="M49" s="260">
        <f t="shared" si="0"/>
        <v>0</v>
      </c>
      <c r="N49" s="255">
        <v>2100</v>
      </c>
      <c r="O49" s="255">
        <v>2100</v>
      </c>
      <c r="P49" s="255">
        <v>2100</v>
      </c>
      <c r="Q49" s="255">
        <v>2100</v>
      </c>
      <c r="R49" s="262">
        <f t="shared" si="19"/>
        <v>0</v>
      </c>
      <c r="S49" s="269">
        <f t="shared" si="20"/>
        <v>0</v>
      </c>
      <c r="T49" s="269">
        <f t="shared" si="21"/>
        <v>0</v>
      </c>
      <c r="U49" s="269">
        <f t="shared" si="22"/>
        <v>0</v>
      </c>
      <c r="V49" s="269">
        <f t="shared" si="23"/>
        <v>0</v>
      </c>
      <c r="W49" s="262">
        <f t="shared" si="6"/>
        <v>0</v>
      </c>
      <c r="X49" s="55"/>
      <c r="Y49" s="224"/>
      <c r="Z49" s="31">
        <v>38</v>
      </c>
    </row>
    <row r="50" spans="1:26" ht="10.5" hidden="1" customHeight="1" outlineLevel="2" x14ac:dyDescent="0.2">
      <c r="A50" s="251" t="s">
        <v>1</v>
      </c>
      <c r="B50" s="251" t="s">
        <v>379</v>
      </c>
      <c r="C50" s="251" t="s">
        <v>244</v>
      </c>
      <c r="D50" s="251" t="s">
        <v>247</v>
      </c>
      <c r="E50" s="252" t="s">
        <v>17</v>
      </c>
      <c r="F50" s="253" t="s">
        <v>290</v>
      </c>
      <c r="G50" s="267">
        <v>1</v>
      </c>
      <c r="H50" s="254">
        <v>7</v>
      </c>
      <c r="I50" s="268"/>
      <c r="J50" s="264"/>
      <c r="K50" s="259"/>
      <c r="L50" s="259"/>
      <c r="M50" s="260">
        <f t="shared" si="0"/>
        <v>0</v>
      </c>
      <c r="N50" s="255">
        <v>2100</v>
      </c>
      <c r="O50" s="255">
        <v>2100</v>
      </c>
      <c r="P50" s="255">
        <v>2100</v>
      </c>
      <c r="Q50" s="255">
        <v>2100</v>
      </c>
      <c r="R50" s="262">
        <f t="shared" si="19"/>
        <v>0</v>
      </c>
      <c r="S50" s="269">
        <f t="shared" si="20"/>
        <v>0</v>
      </c>
      <c r="T50" s="269">
        <f t="shared" si="21"/>
        <v>0</v>
      </c>
      <c r="U50" s="269">
        <f t="shared" si="22"/>
        <v>0</v>
      </c>
      <c r="V50" s="269">
        <f t="shared" si="23"/>
        <v>0</v>
      </c>
      <c r="W50" s="262">
        <f t="shared" si="6"/>
        <v>0</v>
      </c>
      <c r="X50" s="55"/>
      <c r="Y50" s="224"/>
      <c r="Z50" s="31">
        <v>39</v>
      </c>
    </row>
    <row r="51" spans="1:26" ht="10.5" hidden="1" customHeight="1" outlineLevel="2" x14ac:dyDescent="0.2">
      <c r="A51" s="251" t="s">
        <v>1</v>
      </c>
      <c r="B51" s="251" t="s">
        <v>379</v>
      </c>
      <c r="C51" s="251" t="s">
        <v>244</v>
      </c>
      <c r="D51" s="251" t="s">
        <v>248</v>
      </c>
      <c r="E51" s="252" t="s">
        <v>37</v>
      </c>
      <c r="F51" s="253" t="s">
        <v>290</v>
      </c>
      <c r="G51" s="267">
        <v>1</v>
      </c>
      <c r="H51" s="254">
        <v>7</v>
      </c>
      <c r="I51" s="268"/>
      <c r="J51" s="264"/>
      <c r="K51" s="259"/>
      <c r="L51" s="259"/>
      <c r="M51" s="260">
        <f t="shared" si="0"/>
        <v>0</v>
      </c>
      <c r="N51" s="255">
        <v>2100</v>
      </c>
      <c r="O51" s="255">
        <v>2100</v>
      </c>
      <c r="P51" s="255">
        <v>2100</v>
      </c>
      <c r="Q51" s="255">
        <v>2100</v>
      </c>
      <c r="R51" s="262">
        <f t="shared" si="19"/>
        <v>0</v>
      </c>
      <c r="S51" s="269">
        <f t="shared" si="20"/>
        <v>0</v>
      </c>
      <c r="T51" s="269">
        <f t="shared" si="21"/>
        <v>0</v>
      </c>
      <c r="U51" s="269">
        <f t="shared" si="22"/>
        <v>0</v>
      </c>
      <c r="V51" s="269">
        <f t="shared" si="23"/>
        <v>0</v>
      </c>
      <c r="W51" s="262">
        <f t="shared" si="6"/>
        <v>0</v>
      </c>
      <c r="X51" s="55"/>
      <c r="Y51" s="224"/>
      <c r="Z51" s="31">
        <v>40</v>
      </c>
    </row>
    <row r="52" spans="1:26" ht="10.5" hidden="1" customHeight="1" outlineLevel="2" x14ac:dyDescent="0.2">
      <c r="A52" s="251" t="s">
        <v>1</v>
      </c>
      <c r="B52" s="251" t="s">
        <v>379</v>
      </c>
      <c r="C52" s="251" t="s">
        <v>249</v>
      </c>
      <c r="D52" s="251" t="s">
        <v>245</v>
      </c>
      <c r="E52" s="252" t="s">
        <v>16</v>
      </c>
      <c r="F52" s="253" t="s">
        <v>108</v>
      </c>
      <c r="G52" s="267">
        <v>1</v>
      </c>
      <c r="H52" s="254">
        <v>7</v>
      </c>
      <c r="I52" s="268"/>
      <c r="J52" s="264"/>
      <c r="K52" s="259"/>
      <c r="L52" s="259">
        <v>6</v>
      </c>
      <c r="M52" s="260">
        <f t="shared" si="0"/>
        <v>6</v>
      </c>
      <c r="N52" s="255">
        <v>2100</v>
      </c>
      <c r="O52" s="255">
        <v>2100</v>
      </c>
      <c r="P52" s="255">
        <v>2100</v>
      </c>
      <c r="Q52" s="255">
        <v>2100</v>
      </c>
      <c r="R52" s="262">
        <f t="shared" si="19"/>
        <v>12600</v>
      </c>
      <c r="S52" s="269">
        <f t="shared" si="20"/>
        <v>0</v>
      </c>
      <c r="T52" s="269">
        <f t="shared" si="21"/>
        <v>0</v>
      </c>
      <c r="U52" s="269">
        <f t="shared" si="22"/>
        <v>0</v>
      </c>
      <c r="V52" s="269">
        <f t="shared" si="23"/>
        <v>12600</v>
      </c>
      <c r="W52" s="262">
        <f t="shared" si="6"/>
        <v>12600</v>
      </c>
      <c r="X52" s="55"/>
      <c r="Y52" s="224"/>
      <c r="Z52" s="31">
        <v>41</v>
      </c>
    </row>
    <row r="53" spans="1:26" ht="10.5" hidden="1" customHeight="1" outlineLevel="2" x14ac:dyDescent="0.2">
      <c r="A53" s="251" t="s">
        <v>1</v>
      </c>
      <c r="B53" s="251" t="s">
        <v>379</v>
      </c>
      <c r="C53" s="251" t="s">
        <v>249</v>
      </c>
      <c r="D53" s="251" t="s">
        <v>250</v>
      </c>
      <c r="E53" s="252" t="s">
        <v>16</v>
      </c>
      <c r="F53" s="253" t="s">
        <v>106</v>
      </c>
      <c r="G53" s="267">
        <v>1</v>
      </c>
      <c r="H53" s="254">
        <v>7</v>
      </c>
      <c r="I53" s="259">
        <v>2</v>
      </c>
      <c r="J53" s="259"/>
      <c r="K53" s="259"/>
      <c r="L53" s="259"/>
      <c r="M53" s="260">
        <f t="shared" si="0"/>
        <v>2</v>
      </c>
      <c r="N53" s="255">
        <v>2100</v>
      </c>
      <c r="O53" s="255">
        <v>2100</v>
      </c>
      <c r="P53" s="255">
        <v>2100</v>
      </c>
      <c r="Q53" s="255">
        <v>2100</v>
      </c>
      <c r="R53" s="262">
        <f t="shared" si="19"/>
        <v>4200</v>
      </c>
      <c r="S53" s="269">
        <f t="shared" si="20"/>
        <v>4200</v>
      </c>
      <c r="T53" s="269">
        <f t="shared" si="21"/>
        <v>0</v>
      </c>
      <c r="U53" s="269">
        <f t="shared" si="22"/>
        <v>0</v>
      </c>
      <c r="V53" s="269">
        <f t="shared" si="23"/>
        <v>0</v>
      </c>
      <c r="W53" s="262">
        <f t="shared" si="6"/>
        <v>4200</v>
      </c>
      <c r="X53" s="55"/>
      <c r="Y53" s="224"/>
      <c r="Z53" s="31">
        <v>42</v>
      </c>
    </row>
    <row r="54" spans="1:26" ht="10.5" hidden="1" customHeight="1" outlineLevel="2" x14ac:dyDescent="0.2">
      <c r="A54" s="251" t="s">
        <v>1</v>
      </c>
      <c r="B54" s="251" t="s">
        <v>379</v>
      </c>
      <c r="C54" s="251" t="s">
        <v>249</v>
      </c>
      <c r="D54" s="251" t="s">
        <v>247</v>
      </c>
      <c r="E54" s="252" t="s">
        <v>17</v>
      </c>
      <c r="F54" s="253" t="s">
        <v>290</v>
      </c>
      <c r="G54" s="267">
        <v>1</v>
      </c>
      <c r="H54" s="254">
        <v>7</v>
      </c>
      <c r="I54" s="259">
        <v>9</v>
      </c>
      <c r="J54" s="259">
        <v>3</v>
      </c>
      <c r="K54" s="259">
        <v>5</v>
      </c>
      <c r="L54" s="259">
        <v>2</v>
      </c>
      <c r="M54" s="260">
        <f t="shared" si="0"/>
        <v>19</v>
      </c>
      <c r="N54" s="255">
        <v>2100</v>
      </c>
      <c r="O54" s="255">
        <v>2100</v>
      </c>
      <c r="P54" s="255">
        <v>2100</v>
      </c>
      <c r="Q54" s="255">
        <v>2100</v>
      </c>
      <c r="R54" s="262">
        <f t="shared" si="19"/>
        <v>39900</v>
      </c>
      <c r="S54" s="269">
        <f t="shared" si="20"/>
        <v>18900</v>
      </c>
      <c r="T54" s="269">
        <f t="shared" si="21"/>
        <v>6300</v>
      </c>
      <c r="U54" s="269">
        <f t="shared" si="22"/>
        <v>10500</v>
      </c>
      <c r="V54" s="269">
        <f t="shared" si="23"/>
        <v>4200</v>
      </c>
      <c r="W54" s="262">
        <f t="shared" si="6"/>
        <v>39900</v>
      </c>
      <c r="X54" s="55"/>
      <c r="Y54" s="224"/>
      <c r="Z54" s="31">
        <v>43</v>
      </c>
    </row>
    <row r="55" spans="1:26" ht="10.5" hidden="1" customHeight="1" outlineLevel="2" x14ac:dyDescent="0.2">
      <c r="A55" s="251" t="s">
        <v>1</v>
      </c>
      <c r="B55" s="251" t="s">
        <v>379</v>
      </c>
      <c r="C55" s="251" t="s">
        <v>249</v>
      </c>
      <c r="D55" s="251" t="s">
        <v>248</v>
      </c>
      <c r="E55" s="252" t="s">
        <v>37</v>
      </c>
      <c r="F55" s="253" t="s">
        <v>290</v>
      </c>
      <c r="G55" s="267">
        <v>1</v>
      </c>
      <c r="H55" s="254">
        <v>7</v>
      </c>
      <c r="I55" s="259">
        <v>2</v>
      </c>
      <c r="J55" s="259">
        <v>2</v>
      </c>
      <c r="K55" s="259">
        <v>1</v>
      </c>
      <c r="L55" s="259">
        <v>3</v>
      </c>
      <c r="M55" s="260">
        <f t="shared" si="0"/>
        <v>8</v>
      </c>
      <c r="N55" s="255">
        <v>2100</v>
      </c>
      <c r="O55" s="255">
        <v>2100</v>
      </c>
      <c r="P55" s="255">
        <v>2100</v>
      </c>
      <c r="Q55" s="255">
        <v>2100</v>
      </c>
      <c r="R55" s="262">
        <f t="shared" si="19"/>
        <v>16800</v>
      </c>
      <c r="S55" s="269">
        <f t="shared" si="20"/>
        <v>4200</v>
      </c>
      <c r="T55" s="269">
        <f t="shared" si="21"/>
        <v>4200</v>
      </c>
      <c r="U55" s="269">
        <f t="shared" si="22"/>
        <v>2100</v>
      </c>
      <c r="V55" s="269">
        <f t="shared" si="23"/>
        <v>6300</v>
      </c>
      <c r="W55" s="262">
        <f t="shared" si="6"/>
        <v>16800</v>
      </c>
      <c r="X55" s="55"/>
      <c r="Y55" s="224"/>
      <c r="Z55" s="31">
        <v>44</v>
      </c>
    </row>
    <row r="56" spans="1:26" ht="12.75" hidden="1" outlineLevel="2" x14ac:dyDescent="0.2">
      <c r="A56" s="251" t="s">
        <v>386</v>
      </c>
      <c r="B56" s="251" t="s">
        <v>387</v>
      </c>
      <c r="C56" s="251" t="s">
        <v>251</v>
      </c>
      <c r="D56" s="251" t="s">
        <v>252</v>
      </c>
      <c r="E56" s="252" t="s">
        <v>291</v>
      </c>
      <c r="F56" s="253" t="s">
        <v>561</v>
      </c>
      <c r="G56" s="267">
        <v>1</v>
      </c>
      <c r="H56" s="254">
        <v>8</v>
      </c>
      <c r="I56" s="268"/>
      <c r="J56" s="268"/>
      <c r="K56" s="259"/>
      <c r="L56" s="259"/>
      <c r="M56" s="260">
        <f t="shared" si="0"/>
        <v>0</v>
      </c>
      <c r="N56" s="255">
        <v>2390</v>
      </c>
      <c r="O56" s="255">
        <v>2390</v>
      </c>
      <c r="P56" s="255">
        <v>2418</v>
      </c>
      <c r="Q56" s="255">
        <v>2418</v>
      </c>
      <c r="R56" s="262">
        <f t="shared" si="19"/>
        <v>0</v>
      </c>
      <c r="S56" s="269">
        <f t="shared" si="20"/>
        <v>0</v>
      </c>
      <c r="T56" s="269">
        <f t="shared" si="21"/>
        <v>0</v>
      </c>
      <c r="U56" s="269">
        <f t="shared" si="22"/>
        <v>0</v>
      </c>
      <c r="V56" s="269">
        <f t="shared" si="23"/>
        <v>0</v>
      </c>
      <c r="W56" s="262">
        <f t="shared" si="6"/>
        <v>0</v>
      </c>
      <c r="X56" s="55"/>
      <c r="Y56" s="55"/>
      <c r="Z56" s="31">
        <v>48</v>
      </c>
    </row>
    <row r="57" spans="1:26" ht="12.75" hidden="1" outlineLevel="2" x14ac:dyDescent="0.2">
      <c r="A57" s="251" t="s">
        <v>386</v>
      </c>
      <c r="B57" s="251" t="s">
        <v>387</v>
      </c>
      <c r="C57" s="251" t="s">
        <v>251</v>
      </c>
      <c r="D57" s="251" t="s">
        <v>253</v>
      </c>
      <c r="E57" s="252" t="s">
        <v>16</v>
      </c>
      <c r="F57" s="253" t="s">
        <v>108</v>
      </c>
      <c r="G57" s="267">
        <v>1</v>
      </c>
      <c r="H57" s="254">
        <v>8</v>
      </c>
      <c r="I57" s="268"/>
      <c r="J57" s="268"/>
      <c r="K57" s="259"/>
      <c r="L57" s="259"/>
      <c r="M57" s="260">
        <f t="shared" ref="M57:M90" si="24">SUM(I57:L57)</f>
        <v>0</v>
      </c>
      <c r="N57" s="255">
        <v>2390</v>
      </c>
      <c r="O57" s="255">
        <v>2390</v>
      </c>
      <c r="P57" s="255">
        <v>2418</v>
      </c>
      <c r="Q57" s="255">
        <v>2418</v>
      </c>
      <c r="R57" s="262">
        <f t="shared" si="19"/>
        <v>0</v>
      </c>
      <c r="S57" s="269">
        <f t="shared" si="20"/>
        <v>0</v>
      </c>
      <c r="T57" s="269">
        <f t="shared" si="21"/>
        <v>0</v>
      </c>
      <c r="U57" s="269">
        <f t="shared" si="22"/>
        <v>0</v>
      </c>
      <c r="V57" s="269">
        <f t="shared" si="23"/>
        <v>0</v>
      </c>
      <c r="W57" s="262">
        <f t="shared" ref="W57:W90" si="25">SUM(S57:V57)</f>
        <v>0</v>
      </c>
      <c r="X57" s="55"/>
      <c r="Y57" s="55"/>
      <c r="Z57" s="31">
        <v>48</v>
      </c>
    </row>
    <row r="58" spans="1:26" ht="12.75" hidden="1" outlineLevel="2" x14ac:dyDescent="0.2">
      <c r="A58" s="251" t="s">
        <v>386</v>
      </c>
      <c r="B58" s="251" t="s">
        <v>387</v>
      </c>
      <c r="C58" s="251" t="s">
        <v>251</v>
      </c>
      <c r="D58" s="251" t="s">
        <v>254</v>
      </c>
      <c r="E58" s="252" t="s">
        <v>16</v>
      </c>
      <c r="F58" s="253" t="s">
        <v>106</v>
      </c>
      <c r="G58" s="267">
        <v>1</v>
      </c>
      <c r="H58" s="254">
        <v>8</v>
      </c>
      <c r="I58" s="268"/>
      <c r="J58" s="268"/>
      <c r="K58" s="259"/>
      <c r="L58" s="259"/>
      <c r="M58" s="260">
        <f t="shared" si="24"/>
        <v>0</v>
      </c>
      <c r="N58" s="255">
        <v>2390</v>
      </c>
      <c r="O58" s="255">
        <v>2390</v>
      </c>
      <c r="P58" s="255">
        <v>2418</v>
      </c>
      <c r="Q58" s="255">
        <v>2418</v>
      </c>
      <c r="R58" s="262">
        <f t="shared" si="19"/>
        <v>0</v>
      </c>
      <c r="S58" s="269">
        <f t="shared" si="20"/>
        <v>0</v>
      </c>
      <c r="T58" s="269">
        <f t="shared" si="21"/>
        <v>0</v>
      </c>
      <c r="U58" s="269">
        <f t="shared" si="22"/>
        <v>0</v>
      </c>
      <c r="V58" s="269">
        <f t="shared" si="23"/>
        <v>0</v>
      </c>
      <c r="W58" s="262">
        <f t="shared" si="25"/>
        <v>0</v>
      </c>
      <c r="X58" s="55"/>
      <c r="Y58" s="55"/>
      <c r="Z58" s="31">
        <v>48</v>
      </c>
    </row>
    <row r="59" spans="1:26" ht="12.75" hidden="1" outlineLevel="2" x14ac:dyDescent="0.2">
      <c r="A59" s="251" t="s">
        <v>386</v>
      </c>
      <c r="B59" s="251" t="s">
        <v>387</v>
      </c>
      <c r="C59" s="251" t="s">
        <v>251</v>
      </c>
      <c r="D59" s="251" t="s">
        <v>255</v>
      </c>
      <c r="E59" s="252" t="s">
        <v>17</v>
      </c>
      <c r="F59" s="253" t="s">
        <v>290</v>
      </c>
      <c r="G59" s="267">
        <v>1</v>
      </c>
      <c r="H59" s="254">
        <v>8</v>
      </c>
      <c r="I59" s="268"/>
      <c r="J59" s="268"/>
      <c r="K59" s="259"/>
      <c r="L59" s="259"/>
      <c r="M59" s="260">
        <f t="shared" si="24"/>
        <v>0</v>
      </c>
      <c r="N59" s="255">
        <v>2390</v>
      </c>
      <c r="O59" s="255">
        <v>2390</v>
      </c>
      <c r="P59" s="255">
        <v>2418</v>
      </c>
      <c r="Q59" s="255">
        <v>2418</v>
      </c>
      <c r="R59" s="262">
        <f t="shared" si="19"/>
        <v>0</v>
      </c>
      <c r="S59" s="269">
        <f t="shared" si="20"/>
        <v>0</v>
      </c>
      <c r="T59" s="269">
        <f t="shared" si="21"/>
        <v>0</v>
      </c>
      <c r="U59" s="269">
        <f t="shared" si="22"/>
        <v>0</v>
      </c>
      <c r="V59" s="269">
        <f t="shared" si="23"/>
        <v>0</v>
      </c>
      <c r="W59" s="262">
        <f t="shared" si="25"/>
        <v>0</v>
      </c>
      <c r="X59" s="55"/>
      <c r="Y59" s="55"/>
      <c r="Z59" s="31">
        <v>48</v>
      </c>
    </row>
    <row r="60" spans="1:26" ht="12.75" hidden="1" outlineLevel="2" x14ac:dyDescent="0.2">
      <c r="A60" s="251" t="s">
        <v>386</v>
      </c>
      <c r="B60" s="251" t="s">
        <v>387</v>
      </c>
      <c r="C60" s="251" t="s">
        <v>251</v>
      </c>
      <c r="D60" s="251" t="s">
        <v>256</v>
      </c>
      <c r="E60" s="252" t="s">
        <v>17</v>
      </c>
      <c r="F60" s="253" t="s">
        <v>290</v>
      </c>
      <c r="G60" s="267">
        <v>1</v>
      </c>
      <c r="H60" s="254">
        <v>8</v>
      </c>
      <c r="I60" s="268"/>
      <c r="J60" s="268"/>
      <c r="K60" s="259"/>
      <c r="L60" s="259"/>
      <c r="M60" s="260">
        <f t="shared" si="24"/>
        <v>0</v>
      </c>
      <c r="N60" s="255">
        <v>2390</v>
      </c>
      <c r="O60" s="255">
        <v>2390</v>
      </c>
      <c r="P60" s="255">
        <v>2418</v>
      </c>
      <c r="Q60" s="255">
        <v>2418</v>
      </c>
      <c r="R60" s="262">
        <f t="shared" si="19"/>
        <v>0</v>
      </c>
      <c r="S60" s="269">
        <f t="shared" si="20"/>
        <v>0</v>
      </c>
      <c r="T60" s="269">
        <f t="shared" si="21"/>
        <v>0</v>
      </c>
      <c r="U60" s="269">
        <f t="shared" si="22"/>
        <v>0</v>
      </c>
      <c r="V60" s="269">
        <f t="shared" si="23"/>
        <v>0</v>
      </c>
      <c r="W60" s="262">
        <f t="shared" si="25"/>
        <v>0</v>
      </c>
      <c r="X60" s="55"/>
      <c r="Y60" s="55"/>
      <c r="Z60" s="31">
        <v>48</v>
      </c>
    </row>
    <row r="61" spans="1:26" ht="12.75" hidden="1" outlineLevel="2" x14ac:dyDescent="0.2">
      <c r="A61" s="251" t="s">
        <v>386</v>
      </c>
      <c r="B61" s="251" t="s">
        <v>387</v>
      </c>
      <c r="C61" s="251" t="s">
        <v>257</v>
      </c>
      <c r="D61" s="251" t="s">
        <v>258</v>
      </c>
      <c r="E61" s="252" t="s">
        <v>16</v>
      </c>
      <c r="F61" s="253" t="s">
        <v>561</v>
      </c>
      <c r="G61" s="267">
        <v>1</v>
      </c>
      <c r="H61" s="254">
        <v>9</v>
      </c>
      <c r="I61" s="268"/>
      <c r="J61" s="268"/>
      <c r="K61" s="259"/>
      <c r="L61" s="259"/>
      <c r="M61" s="260">
        <f t="shared" si="24"/>
        <v>0</v>
      </c>
      <c r="N61" s="255">
        <v>2490</v>
      </c>
      <c r="O61" s="255">
        <v>2490</v>
      </c>
      <c r="P61" s="255">
        <v>2520</v>
      </c>
      <c r="Q61" s="255">
        <v>2520</v>
      </c>
      <c r="R61" s="262">
        <f t="shared" si="19"/>
        <v>0</v>
      </c>
      <c r="S61" s="269">
        <f t="shared" si="20"/>
        <v>0</v>
      </c>
      <c r="T61" s="269">
        <f t="shared" si="21"/>
        <v>0</v>
      </c>
      <c r="U61" s="269">
        <f t="shared" si="22"/>
        <v>0</v>
      </c>
      <c r="V61" s="269">
        <f t="shared" si="23"/>
        <v>0</v>
      </c>
      <c r="W61" s="262">
        <f t="shared" si="25"/>
        <v>0</v>
      </c>
      <c r="X61" s="55"/>
      <c r="Y61" s="55"/>
      <c r="Z61" s="31">
        <v>48</v>
      </c>
    </row>
    <row r="62" spans="1:26" ht="12.75" hidden="1" outlineLevel="2" x14ac:dyDescent="0.2">
      <c r="A62" s="251" t="s">
        <v>386</v>
      </c>
      <c r="B62" s="251" t="s">
        <v>387</v>
      </c>
      <c r="C62" s="251" t="s">
        <v>257</v>
      </c>
      <c r="D62" s="251" t="s">
        <v>259</v>
      </c>
      <c r="E62" s="252" t="s">
        <v>16</v>
      </c>
      <c r="F62" s="253" t="s">
        <v>108</v>
      </c>
      <c r="G62" s="267">
        <v>1</v>
      </c>
      <c r="H62" s="254">
        <v>9</v>
      </c>
      <c r="I62" s="268"/>
      <c r="J62" s="268"/>
      <c r="K62" s="259"/>
      <c r="L62" s="259"/>
      <c r="M62" s="260">
        <f t="shared" si="24"/>
        <v>0</v>
      </c>
      <c r="N62" s="255">
        <v>2490</v>
      </c>
      <c r="O62" s="255">
        <v>2490</v>
      </c>
      <c r="P62" s="255">
        <v>2520</v>
      </c>
      <c r="Q62" s="255">
        <v>2520</v>
      </c>
      <c r="R62" s="262">
        <f t="shared" si="19"/>
        <v>0</v>
      </c>
      <c r="S62" s="269">
        <f t="shared" si="20"/>
        <v>0</v>
      </c>
      <c r="T62" s="269">
        <f t="shared" si="21"/>
        <v>0</v>
      </c>
      <c r="U62" s="269">
        <f t="shared" si="22"/>
        <v>0</v>
      </c>
      <c r="V62" s="269">
        <f t="shared" si="23"/>
        <v>0</v>
      </c>
      <c r="W62" s="262">
        <f t="shared" si="25"/>
        <v>0</v>
      </c>
      <c r="X62" s="55"/>
      <c r="Y62" s="55"/>
      <c r="Z62" s="31">
        <v>48</v>
      </c>
    </row>
    <row r="63" spans="1:26" ht="12.75" hidden="1" outlineLevel="2" x14ac:dyDescent="0.2">
      <c r="A63" s="251" t="s">
        <v>386</v>
      </c>
      <c r="B63" s="251" t="s">
        <v>387</v>
      </c>
      <c r="C63" s="251" t="s">
        <v>257</v>
      </c>
      <c r="D63" s="251" t="s">
        <v>260</v>
      </c>
      <c r="E63" s="252" t="s">
        <v>16</v>
      </c>
      <c r="F63" s="253" t="s">
        <v>106</v>
      </c>
      <c r="G63" s="267">
        <v>1</v>
      </c>
      <c r="H63" s="254">
        <v>9</v>
      </c>
      <c r="I63" s="268"/>
      <c r="J63" s="268"/>
      <c r="K63" s="259"/>
      <c r="L63" s="259"/>
      <c r="M63" s="260">
        <f t="shared" si="24"/>
        <v>0</v>
      </c>
      <c r="N63" s="255">
        <v>2490</v>
      </c>
      <c r="O63" s="255">
        <v>2490</v>
      </c>
      <c r="P63" s="255">
        <v>2520</v>
      </c>
      <c r="Q63" s="255">
        <v>2520</v>
      </c>
      <c r="R63" s="262">
        <f t="shared" si="19"/>
        <v>0</v>
      </c>
      <c r="S63" s="269">
        <f t="shared" si="20"/>
        <v>0</v>
      </c>
      <c r="T63" s="269">
        <f t="shared" si="21"/>
        <v>0</v>
      </c>
      <c r="U63" s="269">
        <f t="shared" si="22"/>
        <v>0</v>
      </c>
      <c r="V63" s="269">
        <f t="shared" si="23"/>
        <v>0</v>
      </c>
      <c r="W63" s="262">
        <f t="shared" si="25"/>
        <v>0</v>
      </c>
      <c r="X63" s="55"/>
      <c r="Y63" s="55"/>
      <c r="Z63" s="31">
        <v>48</v>
      </c>
    </row>
    <row r="64" spans="1:26" ht="12.75" hidden="1" outlineLevel="2" x14ac:dyDescent="0.2">
      <c r="A64" s="251" t="s">
        <v>386</v>
      </c>
      <c r="B64" s="251" t="s">
        <v>387</v>
      </c>
      <c r="C64" s="251" t="s">
        <v>257</v>
      </c>
      <c r="D64" s="251" t="s">
        <v>261</v>
      </c>
      <c r="E64" s="252" t="s">
        <v>17</v>
      </c>
      <c r="F64" s="253" t="s">
        <v>290</v>
      </c>
      <c r="G64" s="267">
        <v>1</v>
      </c>
      <c r="H64" s="254">
        <v>9</v>
      </c>
      <c r="I64" s="268"/>
      <c r="J64" s="268"/>
      <c r="K64" s="259"/>
      <c r="L64" s="259"/>
      <c r="M64" s="260">
        <f t="shared" si="24"/>
        <v>0</v>
      </c>
      <c r="N64" s="255">
        <v>2490</v>
      </c>
      <c r="O64" s="255">
        <v>2490</v>
      </c>
      <c r="P64" s="255">
        <v>2520</v>
      </c>
      <c r="Q64" s="255">
        <v>2520</v>
      </c>
      <c r="R64" s="262">
        <f t="shared" si="19"/>
        <v>0</v>
      </c>
      <c r="S64" s="269">
        <f t="shared" si="20"/>
        <v>0</v>
      </c>
      <c r="T64" s="269">
        <f t="shared" si="21"/>
        <v>0</v>
      </c>
      <c r="U64" s="269">
        <f t="shared" si="22"/>
        <v>0</v>
      </c>
      <c r="V64" s="269">
        <f t="shared" si="23"/>
        <v>0</v>
      </c>
      <c r="W64" s="262">
        <f t="shared" si="25"/>
        <v>0</v>
      </c>
      <c r="X64" s="55"/>
      <c r="Y64" s="55"/>
      <c r="Z64" s="31">
        <v>48</v>
      </c>
    </row>
    <row r="65" spans="1:26" ht="12.75" hidden="1" outlineLevel="2" x14ac:dyDescent="0.2">
      <c r="A65" s="251" t="s">
        <v>386</v>
      </c>
      <c r="B65" s="251" t="s">
        <v>387</v>
      </c>
      <c r="C65" s="251" t="s">
        <v>257</v>
      </c>
      <c r="D65" s="251" t="s">
        <v>262</v>
      </c>
      <c r="E65" s="252" t="s">
        <v>17</v>
      </c>
      <c r="F65" s="253" t="s">
        <v>290</v>
      </c>
      <c r="G65" s="267">
        <v>1</v>
      </c>
      <c r="H65" s="254">
        <v>9</v>
      </c>
      <c r="I65" s="268"/>
      <c r="J65" s="268"/>
      <c r="K65" s="259"/>
      <c r="L65" s="259"/>
      <c r="M65" s="260">
        <f t="shared" si="24"/>
        <v>0</v>
      </c>
      <c r="N65" s="255">
        <v>2490</v>
      </c>
      <c r="O65" s="255">
        <v>2490</v>
      </c>
      <c r="P65" s="255">
        <v>2520</v>
      </c>
      <c r="Q65" s="255">
        <v>2520</v>
      </c>
      <c r="R65" s="262">
        <f t="shared" si="19"/>
        <v>0</v>
      </c>
      <c r="S65" s="269">
        <f t="shared" si="20"/>
        <v>0</v>
      </c>
      <c r="T65" s="269">
        <f t="shared" si="21"/>
        <v>0</v>
      </c>
      <c r="U65" s="269">
        <f t="shared" si="22"/>
        <v>0</v>
      </c>
      <c r="V65" s="269">
        <f t="shared" si="23"/>
        <v>0</v>
      </c>
      <c r="W65" s="262">
        <f t="shared" si="25"/>
        <v>0</v>
      </c>
      <c r="X65" s="55"/>
      <c r="Y65" s="55"/>
      <c r="Z65" s="31">
        <v>48</v>
      </c>
    </row>
    <row r="66" spans="1:26" ht="12.75" hidden="1" outlineLevel="2" x14ac:dyDescent="0.2">
      <c r="A66" s="251" t="s">
        <v>1</v>
      </c>
      <c r="B66" s="251" t="s">
        <v>379</v>
      </c>
      <c r="C66" s="251" t="s">
        <v>263</v>
      </c>
      <c r="D66" s="251" t="s">
        <v>264</v>
      </c>
      <c r="E66" s="252" t="s">
        <v>16</v>
      </c>
      <c r="F66" s="253" t="s">
        <v>108</v>
      </c>
      <c r="G66" s="267">
        <v>1</v>
      </c>
      <c r="H66" s="254">
        <v>10</v>
      </c>
      <c r="I66" s="268"/>
      <c r="J66" s="268"/>
      <c r="K66" s="259"/>
      <c r="L66" s="259"/>
      <c r="M66" s="260">
        <f t="shared" si="24"/>
        <v>0</v>
      </c>
      <c r="N66" s="255">
        <v>3100</v>
      </c>
      <c r="O66" s="255">
        <v>3100</v>
      </c>
      <c r="P66" s="255">
        <v>3100</v>
      </c>
      <c r="Q66" s="255">
        <v>3100</v>
      </c>
      <c r="R66" s="262">
        <f t="shared" si="19"/>
        <v>0</v>
      </c>
      <c r="S66" s="269">
        <f t="shared" si="20"/>
        <v>0</v>
      </c>
      <c r="T66" s="269">
        <f t="shared" si="21"/>
        <v>0</v>
      </c>
      <c r="U66" s="269">
        <f t="shared" si="22"/>
        <v>0</v>
      </c>
      <c r="V66" s="269">
        <f t="shared" si="23"/>
        <v>0</v>
      </c>
      <c r="W66" s="262">
        <f t="shared" si="25"/>
        <v>0</v>
      </c>
      <c r="X66" s="55"/>
      <c r="Y66" s="55"/>
      <c r="Z66" s="31">
        <v>48</v>
      </c>
    </row>
    <row r="67" spans="1:26" ht="12.75" hidden="1" outlineLevel="2" x14ac:dyDescent="0.2">
      <c r="A67" s="251" t="s">
        <v>1</v>
      </c>
      <c r="B67" s="251" t="s">
        <v>379</v>
      </c>
      <c r="C67" s="251" t="s">
        <v>263</v>
      </c>
      <c r="D67" s="251" t="s">
        <v>265</v>
      </c>
      <c r="E67" s="252" t="s">
        <v>16</v>
      </c>
      <c r="F67" s="253" t="s">
        <v>106</v>
      </c>
      <c r="G67" s="267">
        <v>1</v>
      </c>
      <c r="H67" s="254">
        <v>10</v>
      </c>
      <c r="I67" s="268"/>
      <c r="J67" s="268"/>
      <c r="K67" s="259"/>
      <c r="L67" s="259"/>
      <c r="M67" s="260">
        <f t="shared" si="24"/>
        <v>0</v>
      </c>
      <c r="N67" s="255">
        <v>3100</v>
      </c>
      <c r="O67" s="255">
        <v>3100</v>
      </c>
      <c r="P67" s="255">
        <v>3100</v>
      </c>
      <c r="Q67" s="255">
        <v>3100</v>
      </c>
      <c r="R67" s="262">
        <f t="shared" si="19"/>
        <v>0</v>
      </c>
      <c r="S67" s="269">
        <f t="shared" si="20"/>
        <v>0</v>
      </c>
      <c r="T67" s="269">
        <f t="shared" si="21"/>
        <v>0</v>
      </c>
      <c r="U67" s="269">
        <f t="shared" si="22"/>
        <v>0</v>
      </c>
      <c r="V67" s="269">
        <f t="shared" si="23"/>
        <v>0</v>
      </c>
      <c r="W67" s="262">
        <f t="shared" si="25"/>
        <v>0</v>
      </c>
      <c r="X67" s="55"/>
      <c r="Y67" s="55"/>
      <c r="Z67" s="31">
        <v>48</v>
      </c>
    </row>
    <row r="68" spans="1:26" ht="12.75" hidden="1" outlineLevel="2" x14ac:dyDescent="0.2">
      <c r="A68" s="251" t="s">
        <v>1</v>
      </c>
      <c r="B68" s="251" t="s">
        <v>379</v>
      </c>
      <c r="C68" s="251" t="s">
        <v>263</v>
      </c>
      <c r="D68" s="251" t="s">
        <v>266</v>
      </c>
      <c r="E68" s="252" t="s">
        <v>17</v>
      </c>
      <c r="F68" s="253" t="s">
        <v>290</v>
      </c>
      <c r="G68" s="267">
        <v>1</v>
      </c>
      <c r="H68" s="254">
        <v>10</v>
      </c>
      <c r="I68" s="268"/>
      <c r="J68" s="268"/>
      <c r="K68" s="259"/>
      <c r="L68" s="259"/>
      <c r="M68" s="260">
        <f t="shared" si="24"/>
        <v>0</v>
      </c>
      <c r="N68" s="255">
        <v>3100</v>
      </c>
      <c r="O68" s="255">
        <v>3100</v>
      </c>
      <c r="P68" s="255">
        <v>3100</v>
      </c>
      <c r="Q68" s="255">
        <v>3100</v>
      </c>
      <c r="R68" s="262">
        <f t="shared" si="19"/>
        <v>0</v>
      </c>
      <c r="S68" s="269">
        <f t="shared" si="20"/>
        <v>0</v>
      </c>
      <c r="T68" s="269">
        <f t="shared" si="21"/>
        <v>0</v>
      </c>
      <c r="U68" s="269">
        <f t="shared" si="22"/>
        <v>0</v>
      </c>
      <c r="V68" s="269">
        <f t="shared" si="23"/>
        <v>0</v>
      </c>
      <c r="W68" s="262">
        <f t="shared" si="25"/>
        <v>0</v>
      </c>
      <c r="X68" s="55"/>
      <c r="Y68" s="55"/>
      <c r="Z68" s="31">
        <v>48</v>
      </c>
    </row>
    <row r="69" spans="1:26" ht="12.75" hidden="1" outlineLevel="2" x14ac:dyDescent="0.2">
      <c r="A69" s="251" t="s">
        <v>1</v>
      </c>
      <c r="B69" s="251" t="s">
        <v>379</v>
      </c>
      <c r="C69" s="251" t="s">
        <v>263</v>
      </c>
      <c r="D69" s="251" t="s">
        <v>267</v>
      </c>
      <c r="E69" s="252" t="s">
        <v>37</v>
      </c>
      <c r="F69" s="253" t="s">
        <v>290</v>
      </c>
      <c r="G69" s="267">
        <v>1</v>
      </c>
      <c r="H69" s="254">
        <v>10</v>
      </c>
      <c r="I69" s="268"/>
      <c r="J69" s="268"/>
      <c r="K69" s="259"/>
      <c r="L69" s="259"/>
      <c r="M69" s="260">
        <f t="shared" si="24"/>
        <v>0</v>
      </c>
      <c r="N69" s="255">
        <v>3100</v>
      </c>
      <c r="O69" s="255">
        <v>3100</v>
      </c>
      <c r="P69" s="255">
        <v>3100</v>
      </c>
      <c r="Q69" s="255">
        <v>3100</v>
      </c>
      <c r="R69" s="262">
        <f t="shared" si="19"/>
        <v>0</v>
      </c>
      <c r="S69" s="269">
        <f t="shared" si="20"/>
        <v>0</v>
      </c>
      <c r="T69" s="269">
        <f t="shared" si="21"/>
        <v>0</v>
      </c>
      <c r="U69" s="269">
        <f t="shared" si="22"/>
        <v>0</v>
      </c>
      <c r="V69" s="269">
        <f t="shared" si="23"/>
        <v>0</v>
      </c>
      <c r="W69" s="262">
        <f t="shared" si="25"/>
        <v>0</v>
      </c>
      <c r="X69" s="55"/>
      <c r="Y69" s="55"/>
      <c r="Z69" s="31">
        <v>48</v>
      </c>
    </row>
    <row r="70" spans="1:26" ht="12.75" hidden="1" outlineLevel="2" x14ac:dyDescent="0.2">
      <c r="A70" s="251" t="s">
        <v>1</v>
      </c>
      <c r="B70" s="251" t="s">
        <v>379</v>
      </c>
      <c r="C70" s="251" t="s">
        <v>268</v>
      </c>
      <c r="D70" s="251" t="s">
        <v>264</v>
      </c>
      <c r="E70" s="252" t="s">
        <v>16</v>
      </c>
      <c r="F70" s="253" t="s">
        <v>108</v>
      </c>
      <c r="G70" s="267">
        <v>1</v>
      </c>
      <c r="H70" s="254">
        <v>10</v>
      </c>
      <c r="I70" s="268"/>
      <c r="J70" s="268"/>
      <c r="K70" s="259"/>
      <c r="L70" s="259"/>
      <c r="M70" s="260">
        <f t="shared" si="24"/>
        <v>0</v>
      </c>
      <c r="N70" s="255">
        <v>3100</v>
      </c>
      <c r="O70" s="255">
        <v>3100</v>
      </c>
      <c r="P70" s="255">
        <v>3100</v>
      </c>
      <c r="Q70" s="255">
        <v>3100</v>
      </c>
      <c r="R70" s="262">
        <f t="shared" si="19"/>
        <v>0</v>
      </c>
      <c r="S70" s="269">
        <f t="shared" si="20"/>
        <v>0</v>
      </c>
      <c r="T70" s="269">
        <f t="shared" si="21"/>
        <v>0</v>
      </c>
      <c r="U70" s="269">
        <f t="shared" si="22"/>
        <v>0</v>
      </c>
      <c r="V70" s="269">
        <f t="shared" si="23"/>
        <v>0</v>
      </c>
      <c r="W70" s="262">
        <f t="shared" si="25"/>
        <v>0</v>
      </c>
      <c r="X70" s="55"/>
      <c r="Y70" s="55"/>
      <c r="Z70" s="31">
        <v>48</v>
      </c>
    </row>
    <row r="71" spans="1:26" ht="12.75" hidden="1" outlineLevel="2" x14ac:dyDescent="0.2">
      <c r="A71" s="251" t="s">
        <v>1</v>
      </c>
      <c r="B71" s="251" t="s">
        <v>379</v>
      </c>
      <c r="C71" s="251" t="s">
        <v>268</v>
      </c>
      <c r="D71" s="251" t="s">
        <v>269</v>
      </c>
      <c r="E71" s="252" t="s">
        <v>16</v>
      </c>
      <c r="F71" s="253" t="s">
        <v>106</v>
      </c>
      <c r="G71" s="267">
        <v>1</v>
      </c>
      <c r="H71" s="254">
        <v>10</v>
      </c>
      <c r="I71" s="268"/>
      <c r="J71" s="268"/>
      <c r="K71" s="259"/>
      <c r="L71" s="259"/>
      <c r="M71" s="260">
        <f t="shared" si="24"/>
        <v>0</v>
      </c>
      <c r="N71" s="255">
        <v>3100</v>
      </c>
      <c r="O71" s="255">
        <v>3100</v>
      </c>
      <c r="P71" s="255">
        <v>3100</v>
      </c>
      <c r="Q71" s="255">
        <v>3100</v>
      </c>
      <c r="R71" s="262">
        <f t="shared" si="19"/>
        <v>0</v>
      </c>
      <c r="S71" s="269">
        <f t="shared" si="20"/>
        <v>0</v>
      </c>
      <c r="T71" s="269">
        <f t="shared" si="21"/>
        <v>0</v>
      </c>
      <c r="U71" s="269">
        <f t="shared" si="22"/>
        <v>0</v>
      </c>
      <c r="V71" s="269">
        <f t="shared" si="23"/>
        <v>0</v>
      </c>
      <c r="W71" s="262">
        <f t="shared" si="25"/>
        <v>0</v>
      </c>
      <c r="X71" s="55"/>
      <c r="Y71" s="55"/>
      <c r="Z71" s="31">
        <v>48</v>
      </c>
    </row>
    <row r="72" spans="1:26" ht="12.75" hidden="1" outlineLevel="2" x14ac:dyDescent="0.2">
      <c r="A72" s="251" t="s">
        <v>1</v>
      </c>
      <c r="B72" s="251" t="s">
        <v>379</v>
      </c>
      <c r="C72" s="251" t="s">
        <v>268</v>
      </c>
      <c r="D72" s="251" t="s">
        <v>266</v>
      </c>
      <c r="E72" s="252" t="s">
        <v>17</v>
      </c>
      <c r="F72" s="253" t="s">
        <v>290</v>
      </c>
      <c r="G72" s="267">
        <v>1</v>
      </c>
      <c r="H72" s="254">
        <v>10</v>
      </c>
      <c r="I72" s="268">
        <v>1</v>
      </c>
      <c r="J72" s="268">
        <v>1</v>
      </c>
      <c r="K72" s="259">
        <v>15</v>
      </c>
      <c r="L72" s="259">
        <v>5</v>
      </c>
      <c r="M72" s="260">
        <f t="shared" si="24"/>
        <v>22</v>
      </c>
      <c r="N72" s="255">
        <v>3100</v>
      </c>
      <c r="O72" s="255">
        <v>3100</v>
      </c>
      <c r="P72" s="255">
        <v>3100</v>
      </c>
      <c r="Q72" s="255">
        <v>3100</v>
      </c>
      <c r="R72" s="262">
        <f t="shared" si="19"/>
        <v>68200</v>
      </c>
      <c r="S72" s="269">
        <f t="shared" si="20"/>
        <v>3100</v>
      </c>
      <c r="T72" s="269">
        <f t="shared" si="21"/>
        <v>3100</v>
      </c>
      <c r="U72" s="269">
        <f t="shared" si="22"/>
        <v>46500</v>
      </c>
      <c r="V72" s="269">
        <f t="shared" si="23"/>
        <v>15500</v>
      </c>
      <c r="W72" s="262">
        <f t="shared" si="25"/>
        <v>68200</v>
      </c>
      <c r="X72" s="55"/>
      <c r="Y72" s="55"/>
      <c r="Z72" s="31">
        <v>48</v>
      </c>
    </row>
    <row r="73" spans="1:26" ht="12.75" hidden="1" outlineLevel="2" x14ac:dyDescent="0.2">
      <c r="A73" s="251" t="s">
        <v>1</v>
      </c>
      <c r="B73" s="251" t="s">
        <v>379</v>
      </c>
      <c r="C73" s="251" t="s">
        <v>268</v>
      </c>
      <c r="D73" s="251" t="s">
        <v>267</v>
      </c>
      <c r="E73" s="252" t="s">
        <v>37</v>
      </c>
      <c r="F73" s="253" t="s">
        <v>290</v>
      </c>
      <c r="G73" s="267">
        <v>1</v>
      </c>
      <c r="H73" s="254">
        <v>10</v>
      </c>
      <c r="I73" s="268">
        <v>2</v>
      </c>
      <c r="J73" s="268"/>
      <c r="K73" s="259">
        <v>1</v>
      </c>
      <c r="L73" s="259">
        <v>7</v>
      </c>
      <c r="M73" s="260">
        <f t="shared" si="24"/>
        <v>10</v>
      </c>
      <c r="N73" s="255">
        <v>3100</v>
      </c>
      <c r="O73" s="255">
        <v>3100</v>
      </c>
      <c r="P73" s="255">
        <v>3100</v>
      </c>
      <c r="Q73" s="255">
        <v>3100</v>
      </c>
      <c r="R73" s="262">
        <f t="shared" si="19"/>
        <v>31000</v>
      </c>
      <c r="S73" s="269">
        <f t="shared" si="20"/>
        <v>6200</v>
      </c>
      <c r="T73" s="269">
        <f t="shared" si="21"/>
        <v>0</v>
      </c>
      <c r="U73" s="269">
        <f t="shared" si="22"/>
        <v>3100</v>
      </c>
      <c r="V73" s="269">
        <f t="shared" si="23"/>
        <v>21700</v>
      </c>
      <c r="W73" s="262">
        <f t="shared" si="25"/>
        <v>31000</v>
      </c>
      <c r="X73" s="55"/>
      <c r="Y73" s="55"/>
      <c r="Z73" s="31">
        <v>48</v>
      </c>
    </row>
    <row r="74" spans="1:26" ht="12.75" hidden="1" outlineLevel="2" x14ac:dyDescent="0.2">
      <c r="A74" s="251" t="s">
        <v>386</v>
      </c>
      <c r="B74" s="251" t="s">
        <v>387</v>
      </c>
      <c r="C74" s="251" t="s">
        <v>270</v>
      </c>
      <c r="D74" s="251" t="s">
        <v>271</v>
      </c>
      <c r="E74" s="252" t="s">
        <v>16</v>
      </c>
      <c r="F74" s="253" t="s">
        <v>561</v>
      </c>
      <c r="G74" s="267">
        <v>1</v>
      </c>
      <c r="H74" s="254">
        <v>10</v>
      </c>
      <c r="I74" s="268"/>
      <c r="J74" s="268"/>
      <c r="K74" s="259"/>
      <c r="L74" s="259"/>
      <c r="M74" s="260">
        <f t="shared" si="24"/>
        <v>0</v>
      </c>
      <c r="N74" s="255">
        <v>2950</v>
      </c>
      <c r="O74" s="255">
        <v>2950</v>
      </c>
      <c r="P74" s="255">
        <v>2985</v>
      </c>
      <c r="Q74" s="255">
        <v>2985</v>
      </c>
      <c r="R74" s="262">
        <f t="shared" si="19"/>
        <v>0</v>
      </c>
      <c r="S74" s="269">
        <f t="shared" si="20"/>
        <v>0</v>
      </c>
      <c r="T74" s="269">
        <f t="shared" si="21"/>
        <v>0</v>
      </c>
      <c r="U74" s="269">
        <f t="shared" si="22"/>
        <v>0</v>
      </c>
      <c r="V74" s="269">
        <f t="shared" si="23"/>
        <v>0</v>
      </c>
      <c r="W74" s="262">
        <f t="shared" si="25"/>
        <v>0</v>
      </c>
      <c r="X74" s="55"/>
      <c r="Y74" s="55"/>
      <c r="Z74" s="31">
        <v>48</v>
      </c>
    </row>
    <row r="75" spans="1:26" ht="12.75" hidden="1" outlineLevel="2" x14ac:dyDescent="0.2">
      <c r="A75" s="251" t="s">
        <v>386</v>
      </c>
      <c r="B75" s="251" t="s">
        <v>387</v>
      </c>
      <c r="C75" s="251" t="s">
        <v>270</v>
      </c>
      <c r="D75" s="251" t="s">
        <v>272</v>
      </c>
      <c r="E75" s="252" t="s">
        <v>16</v>
      </c>
      <c r="F75" s="253" t="s">
        <v>108</v>
      </c>
      <c r="G75" s="267">
        <v>1</v>
      </c>
      <c r="H75" s="254">
        <v>10</v>
      </c>
      <c r="I75" s="268"/>
      <c r="J75" s="268"/>
      <c r="K75" s="259"/>
      <c r="L75" s="259"/>
      <c r="M75" s="260">
        <f t="shared" si="24"/>
        <v>0</v>
      </c>
      <c r="N75" s="255">
        <v>2950</v>
      </c>
      <c r="O75" s="255">
        <v>2950</v>
      </c>
      <c r="P75" s="255">
        <v>2985</v>
      </c>
      <c r="Q75" s="255">
        <v>2985</v>
      </c>
      <c r="R75" s="262">
        <f t="shared" si="19"/>
        <v>0</v>
      </c>
      <c r="S75" s="269">
        <f t="shared" si="20"/>
        <v>0</v>
      </c>
      <c r="T75" s="269">
        <f t="shared" si="21"/>
        <v>0</v>
      </c>
      <c r="U75" s="269">
        <f t="shared" si="22"/>
        <v>0</v>
      </c>
      <c r="V75" s="269">
        <f t="shared" si="23"/>
        <v>0</v>
      </c>
      <c r="W75" s="262">
        <f t="shared" si="25"/>
        <v>0</v>
      </c>
      <c r="X75" s="55"/>
      <c r="Y75" s="55"/>
      <c r="Z75" s="31">
        <v>48</v>
      </c>
    </row>
    <row r="76" spans="1:26" ht="12.75" hidden="1" outlineLevel="2" x14ac:dyDescent="0.2">
      <c r="A76" s="251" t="s">
        <v>386</v>
      </c>
      <c r="B76" s="251" t="s">
        <v>387</v>
      </c>
      <c r="C76" s="251" t="s">
        <v>270</v>
      </c>
      <c r="D76" s="251" t="s">
        <v>273</v>
      </c>
      <c r="E76" s="252" t="s">
        <v>16</v>
      </c>
      <c r="F76" s="253" t="s">
        <v>106</v>
      </c>
      <c r="G76" s="267">
        <v>1</v>
      </c>
      <c r="H76" s="254">
        <v>10</v>
      </c>
      <c r="I76" s="268"/>
      <c r="J76" s="268"/>
      <c r="K76" s="259"/>
      <c r="L76" s="259"/>
      <c r="M76" s="260">
        <f t="shared" si="24"/>
        <v>0</v>
      </c>
      <c r="N76" s="255">
        <v>2950</v>
      </c>
      <c r="O76" s="255">
        <v>2950</v>
      </c>
      <c r="P76" s="255">
        <v>2985</v>
      </c>
      <c r="Q76" s="255">
        <v>2985</v>
      </c>
      <c r="R76" s="262">
        <f t="shared" si="19"/>
        <v>0</v>
      </c>
      <c r="S76" s="269">
        <f t="shared" si="20"/>
        <v>0</v>
      </c>
      <c r="T76" s="269">
        <f t="shared" si="21"/>
        <v>0</v>
      </c>
      <c r="U76" s="269">
        <f t="shared" si="22"/>
        <v>0</v>
      </c>
      <c r="V76" s="269">
        <f t="shared" si="23"/>
        <v>0</v>
      </c>
      <c r="W76" s="262">
        <f t="shared" si="25"/>
        <v>0</v>
      </c>
      <c r="X76" s="55"/>
      <c r="Y76" s="55"/>
      <c r="Z76" s="31">
        <v>48</v>
      </c>
    </row>
    <row r="77" spans="1:26" ht="12.75" hidden="1" outlineLevel="2" x14ac:dyDescent="0.2">
      <c r="A77" s="251" t="s">
        <v>386</v>
      </c>
      <c r="B77" s="251" t="s">
        <v>387</v>
      </c>
      <c r="C77" s="251" t="s">
        <v>270</v>
      </c>
      <c r="D77" s="251" t="s">
        <v>274</v>
      </c>
      <c r="E77" s="252" t="s">
        <v>17</v>
      </c>
      <c r="F77" s="253" t="s">
        <v>290</v>
      </c>
      <c r="G77" s="267">
        <v>1</v>
      </c>
      <c r="H77" s="254">
        <v>10</v>
      </c>
      <c r="I77" s="268"/>
      <c r="J77" s="268"/>
      <c r="K77" s="259"/>
      <c r="L77" s="259"/>
      <c r="M77" s="260">
        <f t="shared" si="24"/>
        <v>0</v>
      </c>
      <c r="N77" s="255">
        <v>2950</v>
      </c>
      <c r="O77" s="255">
        <v>2950</v>
      </c>
      <c r="P77" s="255">
        <v>2985</v>
      </c>
      <c r="Q77" s="255">
        <v>2985</v>
      </c>
      <c r="R77" s="262">
        <f t="shared" si="19"/>
        <v>0</v>
      </c>
      <c r="S77" s="269">
        <f t="shared" si="20"/>
        <v>0</v>
      </c>
      <c r="T77" s="269">
        <f t="shared" si="21"/>
        <v>0</v>
      </c>
      <c r="U77" s="269">
        <f t="shared" si="22"/>
        <v>0</v>
      </c>
      <c r="V77" s="269">
        <f t="shared" si="23"/>
        <v>0</v>
      </c>
      <c r="W77" s="262">
        <f t="shared" si="25"/>
        <v>0</v>
      </c>
      <c r="X77" s="55"/>
      <c r="Y77" s="55"/>
      <c r="Z77" s="31">
        <v>48</v>
      </c>
    </row>
    <row r="78" spans="1:26" ht="12.75" hidden="1" outlineLevel="2" x14ac:dyDescent="0.2">
      <c r="A78" s="251" t="s">
        <v>386</v>
      </c>
      <c r="B78" s="251" t="s">
        <v>387</v>
      </c>
      <c r="C78" s="251" t="s">
        <v>270</v>
      </c>
      <c r="D78" s="251" t="s">
        <v>275</v>
      </c>
      <c r="E78" s="252" t="s">
        <v>17</v>
      </c>
      <c r="F78" s="253" t="s">
        <v>290</v>
      </c>
      <c r="G78" s="267">
        <v>1</v>
      </c>
      <c r="H78" s="254">
        <v>10</v>
      </c>
      <c r="I78" s="268"/>
      <c r="J78" s="268"/>
      <c r="K78" s="259"/>
      <c r="L78" s="259"/>
      <c r="M78" s="260">
        <f t="shared" si="24"/>
        <v>0</v>
      </c>
      <c r="N78" s="255">
        <v>2950</v>
      </c>
      <c r="O78" s="255">
        <v>2950</v>
      </c>
      <c r="P78" s="255">
        <v>2985</v>
      </c>
      <c r="Q78" s="255">
        <v>2985</v>
      </c>
      <c r="R78" s="262">
        <f t="shared" si="19"/>
        <v>0</v>
      </c>
      <c r="S78" s="269">
        <f t="shared" si="20"/>
        <v>0</v>
      </c>
      <c r="T78" s="269">
        <f t="shared" si="21"/>
        <v>0</v>
      </c>
      <c r="U78" s="269">
        <f t="shared" si="22"/>
        <v>0</v>
      </c>
      <c r="V78" s="269">
        <f t="shared" si="23"/>
        <v>0</v>
      </c>
      <c r="W78" s="262">
        <f t="shared" si="25"/>
        <v>0</v>
      </c>
      <c r="X78" s="55"/>
      <c r="Y78" s="55"/>
      <c r="Z78" s="31">
        <v>48</v>
      </c>
    </row>
    <row r="79" spans="1:26" ht="12.75" hidden="1" outlineLevel="2" x14ac:dyDescent="0.2">
      <c r="A79" s="251" t="s">
        <v>382</v>
      </c>
      <c r="B79" s="251" t="s">
        <v>383</v>
      </c>
      <c r="C79" s="251" t="s">
        <v>276</v>
      </c>
      <c r="D79" s="251" t="s">
        <v>277</v>
      </c>
      <c r="E79" s="252" t="s">
        <v>291</v>
      </c>
      <c r="F79" s="253" t="s">
        <v>108</v>
      </c>
      <c r="G79" s="267">
        <v>1</v>
      </c>
      <c r="H79" s="254">
        <v>11</v>
      </c>
      <c r="I79" s="268"/>
      <c r="J79" s="268"/>
      <c r="K79" s="259"/>
      <c r="L79" s="259"/>
      <c r="M79" s="260">
        <f t="shared" si="24"/>
        <v>0</v>
      </c>
      <c r="N79" s="255">
        <v>3052</v>
      </c>
      <c r="O79" s="255">
        <v>3052</v>
      </c>
      <c r="P79" s="255">
        <v>3052</v>
      </c>
      <c r="Q79" s="255">
        <v>3052</v>
      </c>
      <c r="R79" s="262">
        <f t="shared" ref="R79:R90" si="26">SUMPRODUCT(I79:L79,N79:Q79)</f>
        <v>0</v>
      </c>
      <c r="S79" s="269">
        <f t="shared" ref="S79:S90" si="27">IF(N79&gt;prisgrense,I79*prisgrense,I79*N79)</f>
        <v>0</v>
      </c>
      <c r="T79" s="269">
        <f t="shared" ref="T79:T90" si="28">IF(O79&gt;prisgrense,J79*prisgrense,J79*O79)</f>
        <v>0</v>
      </c>
      <c r="U79" s="269">
        <f t="shared" ref="U79:U90" si="29">IF(P79&gt;prisgrense,K79*prisgrense,K79*P79)</f>
        <v>0</v>
      </c>
      <c r="V79" s="269">
        <f t="shared" ref="V79:V90" si="30">IF(Q79&gt;prisgrense,L79*prisgrense,L79*Q79)</f>
        <v>0</v>
      </c>
      <c r="W79" s="262">
        <f t="shared" si="25"/>
        <v>0</v>
      </c>
      <c r="X79" s="55"/>
      <c r="Y79" s="55"/>
      <c r="Z79" s="31">
        <v>48</v>
      </c>
    </row>
    <row r="80" spans="1:26" ht="12.75" hidden="1" outlineLevel="2" x14ac:dyDescent="0.2">
      <c r="A80" s="251" t="s">
        <v>382</v>
      </c>
      <c r="B80" s="251" t="s">
        <v>383</v>
      </c>
      <c r="C80" s="251" t="s">
        <v>276</v>
      </c>
      <c r="D80" s="251" t="s">
        <v>278</v>
      </c>
      <c r="E80" s="252" t="s">
        <v>16</v>
      </c>
      <c r="F80" s="253" t="s">
        <v>108</v>
      </c>
      <c r="G80" s="267">
        <v>1</v>
      </c>
      <c r="H80" s="254">
        <v>11</v>
      </c>
      <c r="I80" s="268"/>
      <c r="J80" s="268"/>
      <c r="K80" s="259"/>
      <c r="L80" s="259"/>
      <c r="M80" s="260">
        <f t="shared" si="24"/>
        <v>0</v>
      </c>
      <c r="N80" s="255">
        <v>3052</v>
      </c>
      <c r="O80" s="255">
        <v>3052</v>
      </c>
      <c r="P80" s="255">
        <v>3052</v>
      </c>
      <c r="Q80" s="255">
        <v>3052</v>
      </c>
      <c r="R80" s="262">
        <f t="shared" si="26"/>
        <v>0</v>
      </c>
      <c r="S80" s="269">
        <f t="shared" si="27"/>
        <v>0</v>
      </c>
      <c r="T80" s="269">
        <f t="shared" si="28"/>
        <v>0</v>
      </c>
      <c r="U80" s="269">
        <f t="shared" si="29"/>
        <v>0</v>
      </c>
      <c r="V80" s="269">
        <f t="shared" si="30"/>
        <v>0</v>
      </c>
      <c r="W80" s="262">
        <f t="shared" si="25"/>
        <v>0</v>
      </c>
      <c r="X80" s="55"/>
      <c r="Y80" s="55"/>
      <c r="Z80" s="31">
        <v>48</v>
      </c>
    </row>
    <row r="81" spans="1:26" ht="12.75" hidden="1" outlineLevel="2" x14ac:dyDescent="0.2">
      <c r="A81" s="251" t="s">
        <v>382</v>
      </c>
      <c r="B81" s="251" t="s">
        <v>383</v>
      </c>
      <c r="C81" s="251" t="s">
        <v>276</v>
      </c>
      <c r="D81" s="251" t="s">
        <v>279</v>
      </c>
      <c r="E81" s="252" t="s">
        <v>16</v>
      </c>
      <c r="F81" s="253" t="s">
        <v>106</v>
      </c>
      <c r="G81" s="267">
        <v>1</v>
      </c>
      <c r="H81" s="254">
        <v>11</v>
      </c>
      <c r="I81" s="268"/>
      <c r="J81" s="268"/>
      <c r="K81" s="259"/>
      <c r="L81" s="259"/>
      <c r="M81" s="260">
        <f t="shared" si="24"/>
        <v>0</v>
      </c>
      <c r="N81" s="255">
        <v>3052</v>
      </c>
      <c r="O81" s="255">
        <v>3052</v>
      </c>
      <c r="P81" s="255">
        <v>3052</v>
      </c>
      <c r="Q81" s="255">
        <v>3052</v>
      </c>
      <c r="R81" s="262">
        <f t="shared" si="26"/>
        <v>0</v>
      </c>
      <c r="S81" s="269">
        <f t="shared" si="27"/>
        <v>0</v>
      </c>
      <c r="T81" s="269">
        <f t="shared" si="28"/>
        <v>0</v>
      </c>
      <c r="U81" s="269">
        <f t="shared" si="29"/>
        <v>0</v>
      </c>
      <c r="V81" s="269">
        <f t="shared" si="30"/>
        <v>0</v>
      </c>
      <c r="W81" s="262">
        <f t="shared" si="25"/>
        <v>0</v>
      </c>
      <c r="X81" s="55"/>
      <c r="Y81" s="55"/>
      <c r="Z81" s="31">
        <v>48</v>
      </c>
    </row>
    <row r="82" spans="1:26" ht="12.75" hidden="1" outlineLevel="2" x14ac:dyDescent="0.2">
      <c r="A82" s="251" t="s">
        <v>382</v>
      </c>
      <c r="B82" s="251" t="s">
        <v>383</v>
      </c>
      <c r="C82" s="251" t="s">
        <v>276</v>
      </c>
      <c r="D82" s="251" t="s">
        <v>280</v>
      </c>
      <c r="E82" s="252" t="s">
        <v>17</v>
      </c>
      <c r="F82" s="253" t="s">
        <v>290</v>
      </c>
      <c r="G82" s="267">
        <v>1</v>
      </c>
      <c r="H82" s="254">
        <v>11</v>
      </c>
      <c r="I82" s="268"/>
      <c r="J82" s="268"/>
      <c r="K82" s="259"/>
      <c r="L82" s="259"/>
      <c r="M82" s="260">
        <f t="shared" si="24"/>
        <v>0</v>
      </c>
      <c r="N82" s="255">
        <v>3052</v>
      </c>
      <c r="O82" s="255">
        <v>3052</v>
      </c>
      <c r="P82" s="255">
        <v>3052</v>
      </c>
      <c r="Q82" s="255">
        <v>3052</v>
      </c>
      <c r="R82" s="262">
        <f t="shared" si="26"/>
        <v>0</v>
      </c>
      <c r="S82" s="269">
        <f t="shared" si="27"/>
        <v>0</v>
      </c>
      <c r="T82" s="269">
        <f t="shared" si="28"/>
        <v>0</v>
      </c>
      <c r="U82" s="269">
        <f t="shared" si="29"/>
        <v>0</v>
      </c>
      <c r="V82" s="269">
        <f t="shared" si="30"/>
        <v>0</v>
      </c>
      <c r="W82" s="262">
        <f t="shared" si="25"/>
        <v>0</v>
      </c>
      <c r="X82" s="55"/>
      <c r="Y82" s="55"/>
      <c r="Z82" s="31">
        <v>48</v>
      </c>
    </row>
    <row r="83" spans="1:26" ht="12.75" hidden="1" outlineLevel="2" x14ac:dyDescent="0.2">
      <c r="A83" s="251" t="s">
        <v>382</v>
      </c>
      <c r="B83" s="251" t="s">
        <v>383</v>
      </c>
      <c r="C83" s="251" t="s">
        <v>276</v>
      </c>
      <c r="D83" s="251" t="s">
        <v>281</v>
      </c>
      <c r="E83" s="252" t="s">
        <v>17</v>
      </c>
      <c r="F83" s="253" t="s">
        <v>290</v>
      </c>
      <c r="G83" s="267">
        <v>1</v>
      </c>
      <c r="H83" s="254">
        <v>11</v>
      </c>
      <c r="I83" s="268"/>
      <c r="J83" s="268"/>
      <c r="K83" s="259"/>
      <c r="L83" s="259"/>
      <c r="M83" s="260">
        <f t="shared" si="24"/>
        <v>0</v>
      </c>
      <c r="N83" s="255">
        <v>3052</v>
      </c>
      <c r="O83" s="255">
        <v>3052</v>
      </c>
      <c r="P83" s="255">
        <v>3052</v>
      </c>
      <c r="Q83" s="255">
        <v>3052</v>
      </c>
      <c r="R83" s="262">
        <f t="shared" si="26"/>
        <v>0</v>
      </c>
      <c r="S83" s="269">
        <f t="shared" si="27"/>
        <v>0</v>
      </c>
      <c r="T83" s="269">
        <f t="shared" si="28"/>
        <v>0</v>
      </c>
      <c r="U83" s="269">
        <f t="shared" si="29"/>
        <v>0</v>
      </c>
      <c r="V83" s="269">
        <f t="shared" si="30"/>
        <v>0</v>
      </c>
      <c r="W83" s="262">
        <f t="shared" si="25"/>
        <v>0</v>
      </c>
      <c r="X83" s="55"/>
      <c r="Y83" s="55"/>
      <c r="Z83" s="31">
        <v>48</v>
      </c>
    </row>
    <row r="84" spans="1:26" ht="12.75" hidden="1" outlineLevel="2" x14ac:dyDescent="0.2">
      <c r="A84" s="251" t="s">
        <v>382</v>
      </c>
      <c r="B84" s="251" t="s">
        <v>383</v>
      </c>
      <c r="C84" s="251" t="s">
        <v>276</v>
      </c>
      <c r="D84" s="251" t="s">
        <v>282</v>
      </c>
      <c r="E84" s="252" t="s">
        <v>37</v>
      </c>
      <c r="F84" s="253" t="s">
        <v>290</v>
      </c>
      <c r="G84" s="267">
        <v>1</v>
      </c>
      <c r="H84" s="254">
        <v>11</v>
      </c>
      <c r="I84" s="268"/>
      <c r="J84" s="268"/>
      <c r="K84" s="259"/>
      <c r="L84" s="259"/>
      <c r="M84" s="260">
        <f t="shared" si="24"/>
        <v>0</v>
      </c>
      <c r="N84" s="255">
        <v>3052</v>
      </c>
      <c r="O84" s="255">
        <v>3052</v>
      </c>
      <c r="P84" s="255">
        <v>3052</v>
      </c>
      <c r="Q84" s="255">
        <v>3052</v>
      </c>
      <c r="R84" s="262">
        <f t="shared" si="26"/>
        <v>0</v>
      </c>
      <c r="S84" s="269">
        <f t="shared" si="27"/>
        <v>0</v>
      </c>
      <c r="T84" s="269">
        <f t="shared" si="28"/>
        <v>0</v>
      </c>
      <c r="U84" s="269">
        <f t="shared" si="29"/>
        <v>0</v>
      </c>
      <c r="V84" s="269">
        <f t="shared" si="30"/>
        <v>0</v>
      </c>
      <c r="W84" s="262">
        <f t="shared" si="25"/>
        <v>0</v>
      </c>
      <c r="X84" s="55"/>
      <c r="Y84" s="55"/>
      <c r="Z84" s="31">
        <v>48</v>
      </c>
    </row>
    <row r="85" spans="1:26" ht="12.75" hidden="1" outlineLevel="2" x14ac:dyDescent="0.2">
      <c r="A85" s="251" t="s">
        <v>389</v>
      </c>
      <c r="B85" s="251" t="s">
        <v>390</v>
      </c>
      <c r="C85" s="251" t="s">
        <v>283</v>
      </c>
      <c r="D85" s="251" t="s">
        <v>284</v>
      </c>
      <c r="E85" s="252" t="s">
        <v>291</v>
      </c>
      <c r="F85" s="253" t="s">
        <v>108</v>
      </c>
      <c r="G85" s="267">
        <v>1</v>
      </c>
      <c r="H85" s="254">
        <v>11</v>
      </c>
      <c r="I85" s="268">
        <v>1</v>
      </c>
      <c r="J85" s="268">
        <v>14</v>
      </c>
      <c r="K85" s="259">
        <v>15</v>
      </c>
      <c r="L85" s="259">
        <v>7</v>
      </c>
      <c r="M85" s="260">
        <f t="shared" si="24"/>
        <v>37</v>
      </c>
      <c r="N85" s="255">
        <v>2200</v>
      </c>
      <c r="O85" s="255">
        <v>2200</v>
      </c>
      <c r="P85" s="255">
        <v>2226</v>
      </c>
      <c r="Q85" s="255">
        <v>2226</v>
      </c>
      <c r="R85" s="262">
        <f t="shared" si="26"/>
        <v>81972</v>
      </c>
      <c r="S85" s="269">
        <f t="shared" si="27"/>
        <v>2200</v>
      </c>
      <c r="T85" s="269">
        <f t="shared" si="28"/>
        <v>30800</v>
      </c>
      <c r="U85" s="269">
        <f t="shared" si="29"/>
        <v>33390</v>
      </c>
      <c r="V85" s="269">
        <f t="shared" si="30"/>
        <v>15582</v>
      </c>
      <c r="W85" s="262">
        <f t="shared" si="25"/>
        <v>81972</v>
      </c>
      <c r="X85" s="55"/>
      <c r="Y85" s="55"/>
      <c r="Z85" s="31">
        <v>48</v>
      </c>
    </row>
    <row r="86" spans="1:26" ht="12.75" hidden="1" outlineLevel="2" x14ac:dyDescent="0.2">
      <c r="A86" s="251" t="s">
        <v>389</v>
      </c>
      <c r="B86" s="251" t="s">
        <v>390</v>
      </c>
      <c r="C86" s="251" t="s">
        <v>283</v>
      </c>
      <c r="D86" s="251" t="s">
        <v>285</v>
      </c>
      <c r="E86" s="252" t="s">
        <v>16</v>
      </c>
      <c r="F86" s="253" t="s">
        <v>108</v>
      </c>
      <c r="G86" s="267">
        <v>1</v>
      </c>
      <c r="H86" s="254">
        <v>11</v>
      </c>
      <c r="I86" s="268">
        <v>40</v>
      </c>
      <c r="J86" s="268">
        <v>82</v>
      </c>
      <c r="K86" s="259">
        <v>29</v>
      </c>
      <c r="L86" s="259">
        <v>15</v>
      </c>
      <c r="M86" s="260">
        <f t="shared" si="24"/>
        <v>166</v>
      </c>
      <c r="N86" s="255">
        <v>2200</v>
      </c>
      <c r="O86" s="255">
        <v>2200</v>
      </c>
      <c r="P86" s="255">
        <v>2226</v>
      </c>
      <c r="Q86" s="255">
        <v>2226</v>
      </c>
      <c r="R86" s="262">
        <f t="shared" si="26"/>
        <v>366344</v>
      </c>
      <c r="S86" s="269">
        <f t="shared" si="27"/>
        <v>88000</v>
      </c>
      <c r="T86" s="269">
        <f t="shared" si="28"/>
        <v>180400</v>
      </c>
      <c r="U86" s="269">
        <f t="shared" si="29"/>
        <v>64554</v>
      </c>
      <c r="V86" s="269">
        <f t="shared" si="30"/>
        <v>33390</v>
      </c>
      <c r="W86" s="262">
        <f t="shared" si="25"/>
        <v>366344</v>
      </c>
      <c r="X86" s="55"/>
      <c r="Y86" s="55"/>
      <c r="Z86" s="31">
        <v>48</v>
      </c>
    </row>
    <row r="87" spans="1:26" ht="12.75" hidden="1" outlineLevel="2" x14ac:dyDescent="0.2">
      <c r="A87" s="251" t="s">
        <v>389</v>
      </c>
      <c r="B87" s="251" t="s">
        <v>390</v>
      </c>
      <c r="C87" s="251" t="s">
        <v>283</v>
      </c>
      <c r="D87" s="251" t="s">
        <v>286</v>
      </c>
      <c r="E87" s="252" t="s">
        <v>17</v>
      </c>
      <c r="F87" s="253" t="s">
        <v>290</v>
      </c>
      <c r="G87" s="267">
        <v>1</v>
      </c>
      <c r="H87" s="254">
        <v>11</v>
      </c>
      <c r="I87" s="268">
        <v>21</v>
      </c>
      <c r="J87" s="268">
        <v>16</v>
      </c>
      <c r="K87" s="259">
        <v>13</v>
      </c>
      <c r="L87" s="259">
        <v>11</v>
      </c>
      <c r="M87" s="260">
        <f t="shared" si="24"/>
        <v>61</v>
      </c>
      <c r="N87" s="255">
        <v>2200</v>
      </c>
      <c r="O87" s="255">
        <v>2200</v>
      </c>
      <c r="P87" s="255">
        <v>2226</v>
      </c>
      <c r="Q87" s="255">
        <v>2226</v>
      </c>
      <c r="R87" s="262">
        <f t="shared" si="26"/>
        <v>134824</v>
      </c>
      <c r="S87" s="269">
        <f t="shared" si="27"/>
        <v>46200</v>
      </c>
      <c r="T87" s="269">
        <f t="shared" si="28"/>
        <v>35200</v>
      </c>
      <c r="U87" s="269">
        <f t="shared" si="29"/>
        <v>28938</v>
      </c>
      <c r="V87" s="269">
        <f t="shared" si="30"/>
        <v>24486</v>
      </c>
      <c r="W87" s="262">
        <f t="shared" si="25"/>
        <v>134824</v>
      </c>
      <c r="X87" s="55"/>
      <c r="Y87" s="55"/>
      <c r="Z87" s="31">
        <v>48</v>
      </c>
    </row>
    <row r="88" spans="1:26" ht="12.75" hidden="1" outlineLevel="2" x14ac:dyDescent="0.2">
      <c r="A88" s="251" t="s">
        <v>389</v>
      </c>
      <c r="B88" s="251" t="s">
        <v>390</v>
      </c>
      <c r="C88" s="251" t="s">
        <v>283</v>
      </c>
      <c r="D88" s="251" t="s">
        <v>287</v>
      </c>
      <c r="E88" s="252" t="s">
        <v>17</v>
      </c>
      <c r="F88" s="253" t="s">
        <v>290</v>
      </c>
      <c r="G88" s="267">
        <v>1</v>
      </c>
      <c r="H88" s="254">
        <v>11</v>
      </c>
      <c r="I88" s="268">
        <v>63</v>
      </c>
      <c r="J88" s="268">
        <v>100</v>
      </c>
      <c r="K88" s="259">
        <v>99</v>
      </c>
      <c r="L88" s="259">
        <v>91</v>
      </c>
      <c r="M88" s="260">
        <f t="shared" si="24"/>
        <v>353</v>
      </c>
      <c r="N88" s="255">
        <v>2200</v>
      </c>
      <c r="O88" s="255">
        <v>2200</v>
      </c>
      <c r="P88" s="255">
        <v>2226</v>
      </c>
      <c r="Q88" s="255">
        <v>2226</v>
      </c>
      <c r="R88" s="262">
        <f t="shared" si="26"/>
        <v>781540</v>
      </c>
      <c r="S88" s="269">
        <f t="shared" si="27"/>
        <v>138600</v>
      </c>
      <c r="T88" s="269">
        <f t="shared" si="28"/>
        <v>220000</v>
      </c>
      <c r="U88" s="269">
        <f t="shared" si="29"/>
        <v>220374</v>
      </c>
      <c r="V88" s="269">
        <f t="shared" si="30"/>
        <v>202566</v>
      </c>
      <c r="W88" s="262">
        <f t="shared" si="25"/>
        <v>781540</v>
      </c>
      <c r="X88" s="55"/>
      <c r="Y88" s="55"/>
      <c r="Z88" s="31">
        <v>48</v>
      </c>
    </row>
    <row r="89" spans="1:26" ht="12.75" hidden="1" outlineLevel="2" x14ac:dyDescent="0.2">
      <c r="A89" s="251" t="s">
        <v>389</v>
      </c>
      <c r="B89" s="251" t="s">
        <v>390</v>
      </c>
      <c r="C89" s="251" t="s">
        <v>283</v>
      </c>
      <c r="D89" s="251" t="s">
        <v>288</v>
      </c>
      <c r="E89" s="252" t="s">
        <v>16</v>
      </c>
      <c r="F89" s="253" t="s">
        <v>106</v>
      </c>
      <c r="G89" s="267">
        <v>1</v>
      </c>
      <c r="H89" s="254">
        <v>11</v>
      </c>
      <c r="I89" s="268"/>
      <c r="J89" s="268"/>
      <c r="K89" s="259"/>
      <c r="L89" s="259"/>
      <c r="M89" s="260">
        <f t="shared" si="24"/>
        <v>0</v>
      </c>
      <c r="N89" s="255">
        <v>2200</v>
      </c>
      <c r="O89" s="255">
        <v>2200</v>
      </c>
      <c r="P89" s="255">
        <v>2226</v>
      </c>
      <c r="Q89" s="255">
        <v>2226</v>
      </c>
      <c r="R89" s="262">
        <f t="shared" si="26"/>
        <v>0</v>
      </c>
      <c r="S89" s="269">
        <f t="shared" si="27"/>
        <v>0</v>
      </c>
      <c r="T89" s="269">
        <f t="shared" si="28"/>
        <v>0</v>
      </c>
      <c r="U89" s="269">
        <f t="shared" si="29"/>
        <v>0</v>
      </c>
      <c r="V89" s="269">
        <f t="shared" si="30"/>
        <v>0</v>
      </c>
      <c r="W89" s="262">
        <f t="shared" si="25"/>
        <v>0</v>
      </c>
      <c r="X89" s="55" t="s">
        <v>480</v>
      </c>
      <c r="Y89" s="55"/>
      <c r="Z89" s="31">
        <v>48</v>
      </c>
    </row>
    <row r="90" spans="1:26" ht="12.75" hidden="1" outlineLevel="2" x14ac:dyDescent="0.2">
      <c r="A90" s="251" t="s">
        <v>389</v>
      </c>
      <c r="B90" s="251" t="s">
        <v>390</v>
      </c>
      <c r="C90" s="251" t="s">
        <v>283</v>
      </c>
      <c r="D90" s="251" t="s">
        <v>289</v>
      </c>
      <c r="E90" s="252" t="s">
        <v>37</v>
      </c>
      <c r="F90" s="253" t="s">
        <v>290</v>
      </c>
      <c r="G90" s="267">
        <v>1</v>
      </c>
      <c r="H90" s="254">
        <v>11</v>
      </c>
      <c r="I90" s="268">
        <v>42</v>
      </c>
      <c r="J90" s="268">
        <v>49</v>
      </c>
      <c r="K90" s="259">
        <v>66</v>
      </c>
      <c r="L90" s="259">
        <v>64</v>
      </c>
      <c r="M90" s="260">
        <f t="shared" si="24"/>
        <v>221</v>
      </c>
      <c r="N90" s="255">
        <v>2200</v>
      </c>
      <c r="O90" s="255">
        <v>2200</v>
      </c>
      <c r="P90" s="255">
        <v>2226</v>
      </c>
      <c r="Q90" s="255">
        <v>2226</v>
      </c>
      <c r="R90" s="262">
        <f t="shared" si="26"/>
        <v>489580</v>
      </c>
      <c r="S90" s="269">
        <f t="shared" si="27"/>
        <v>92400</v>
      </c>
      <c r="T90" s="269">
        <f t="shared" si="28"/>
        <v>107800</v>
      </c>
      <c r="U90" s="269">
        <f t="shared" si="29"/>
        <v>146916</v>
      </c>
      <c r="V90" s="269">
        <f t="shared" si="30"/>
        <v>142464</v>
      </c>
      <c r="W90" s="262">
        <f t="shared" si="25"/>
        <v>489580</v>
      </c>
      <c r="X90" s="55"/>
      <c r="Y90" s="55"/>
      <c r="Z90" s="31">
        <v>48</v>
      </c>
    </row>
    <row r="91" spans="1:26" ht="11.25" outlineLevel="1" collapsed="1" x14ac:dyDescent="0.2">
      <c r="C91" s="410"/>
      <c r="D91" s="343" t="s">
        <v>634</v>
      </c>
      <c r="F91" s="411"/>
      <c r="G91" s="238" t="s">
        <v>172</v>
      </c>
      <c r="I91" s="412">
        <f>SUBTOTAL(9,I5:I90)</f>
        <v>632</v>
      </c>
      <c r="J91" s="412">
        <f>SUBTOTAL(9,J5:J90)</f>
        <v>667</v>
      </c>
      <c r="K91" s="31">
        <f>SUBTOTAL(9,K5:K90)</f>
        <v>540</v>
      </c>
      <c r="L91" s="413">
        <f>SUBTOTAL(9,L5:L90)</f>
        <v>499</v>
      </c>
      <c r="M91" s="214">
        <f>SUBTOTAL(9,M5:M90)</f>
        <v>2338</v>
      </c>
      <c r="R91" s="57">
        <f t="shared" ref="R91:W91" si="31">SUBTOTAL(9,R5:R90)</f>
        <v>4906612</v>
      </c>
      <c r="S91" s="414">
        <f t="shared" si="31"/>
        <v>1308860</v>
      </c>
      <c r="T91" s="414">
        <f t="shared" si="31"/>
        <v>1401130</v>
      </c>
      <c r="U91" s="414">
        <f t="shared" si="31"/>
        <v>1138094</v>
      </c>
      <c r="V91" s="414">
        <f t="shared" si="31"/>
        <v>1058528</v>
      </c>
      <c r="W91" s="57">
        <f t="shared" si="31"/>
        <v>4906612</v>
      </c>
      <c r="X91" s="55"/>
      <c r="Y91" s="224"/>
      <c r="Z91" s="31">
        <v>57</v>
      </c>
    </row>
    <row r="92" spans="1:26" ht="11.25" outlineLevel="1" x14ac:dyDescent="0.2">
      <c r="C92" s="410"/>
      <c r="D92" s="343"/>
      <c r="F92" s="411"/>
      <c r="G92" s="238"/>
      <c r="I92" s="412"/>
      <c r="J92" s="412"/>
      <c r="K92" s="31"/>
      <c r="L92" s="413"/>
      <c r="M92" s="344"/>
      <c r="S92" s="414"/>
      <c r="T92" s="414"/>
      <c r="U92" s="414"/>
      <c r="V92" s="414"/>
      <c r="W92" s="57"/>
      <c r="X92" s="55"/>
      <c r="Y92" s="224"/>
    </row>
    <row r="93" spans="1:26" ht="12.75" hidden="1" outlineLevel="2" x14ac:dyDescent="0.2">
      <c r="A93" s="251" t="s">
        <v>375</v>
      </c>
      <c r="B93" s="251" t="s">
        <v>376</v>
      </c>
      <c r="C93" s="251" t="s">
        <v>292</v>
      </c>
      <c r="D93" s="251" t="s">
        <v>199</v>
      </c>
      <c r="E93" s="252" t="s">
        <v>16</v>
      </c>
      <c r="F93" s="253" t="s">
        <v>108</v>
      </c>
      <c r="G93" s="267">
        <v>2</v>
      </c>
      <c r="H93" s="267">
        <v>1</v>
      </c>
      <c r="I93" s="268">
        <v>170</v>
      </c>
      <c r="J93" s="268">
        <v>204</v>
      </c>
      <c r="K93" s="259">
        <v>169</v>
      </c>
      <c r="L93" s="259">
        <v>94</v>
      </c>
      <c r="M93" s="260">
        <f t="shared" si="0"/>
        <v>637</v>
      </c>
      <c r="N93" s="255">
        <v>2990</v>
      </c>
      <c r="O93" s="255">
        <v>2990</v>
      </c>
      <c r="P93" s="255">
        <v>2990</v>
      </c>
      <c r="Q93" s="255">
        <v>2990</v>
      </c>
      <c r="R93" s="262">
        <f t="shared" ref="R93:R141" si="32">SUMPRODUCT(I93:L93,N93:Q93)</f>
        <v>1904630</v>
      </c>
      <c r="S93" s="269">
        <f t="shared" ref="S93:S141" si="33">IF(N93&gt;prisgrense,I93*prisgrense,I93*N93)</f>
        <v>508300</v>
      </c>
      <c r="T93" s="269">
        <f t="shared" ref="T93:T141" si="34">IF(O93&gt;prisgrense,J93*prisgrense,J93*O93)</f>
        <v>609960</v>
      </c>
      <c r="U93" s="269">
        <f t="shared" ref="U93:U141" si="35">IF(P93&gt;prisgrense,K93*prisgrense,K93*P93)</f>
        <v>505310</v>
      </c>
      <c r="V93" s="269">
        <f t="shared" ref="V93:V141" si="36">IF(Q93&gt;prisgrense,L93*prisgrense,L93*Q93)</f>
        <v>281060</v>
      </c>
      <c r="W93" s="262">
        <f t="shared" si="6"/>
        <v>1904630</v>
      </c>
      <c r="X93" s="55" t="s">
        <v>582</v>
      </c>
      <c r="Y93" s="224"/>
      <c r="Z93" s="31">
        <v>58</v>
      </c>
    </row>
    <row r="94" spans="1:26" ht="12.75" hidden="1" outlineLevel="2" x14ac:dyDescent="0.2">
      <c r="A94" s="251" t="s">
        <v>375</v>
      </c>
      <c r="B94" s="251" t="s">
        <v>376</v>
      </c>
      <c r="C94" s="251" t="s">
        <v>292</v>
      </c>
      <c r="D94" s="251" t="s">
        <v>198</v>
      </c>
      <c r="E94" s="252" t="s">
        <v>16</v>
      </c>
      <c r="F94" s="253" t="s">
        <v>108</v>
      </c>
      <c r="G94" s="267">
        <v>2</v>
      </c>
      <c r="H94" s="267">
        <v>1</v>
      </c>
      <c r="I94" s="268">
        <v>374</v>
      </c>
      <c r="J94" s="268">
        <v>412</v>
      </c>
      <c r="K94" s="259">
        <v>288</v>
      </c>
      <c r="L94" s="259">
        <v>176</v>
      </c>
      <c r="M94" s="260">
        <f t="shared" si="0"/>
        <v>1250</v>
      </c>
      <c r="N94" s="255">
        <v>2990</v>
      </c>
      <c r="O94" s="255">
        <v>2990</v>
      </c>
      <c r="P94" s="255">
        <v>2990</v>
      </c>
      <c r="Q94" s="255">
        <v>2990</v>
      </c>
      <c r="R94" s="262">
        <f t="shared" si="32"/>
        <v>3737500</v>
      </c>
      <c r="S94" s="269">
        <f t="shared" si="33"/>
        <v>1118260</v>
      </c>
      <c r="T94" s="269">
        <f t="shared" si="34"/>
        <v>1231880</v>
      </c>
      <c r="U94" s="269">
        <f t="shared" si="35"/>
        <v>861120</v>
      </c>
      <c r="V94" s="269">
        <f t="shared" si="36"/>
        <v>526240</v>
      </c>
      <c r="W94" s="262">
        <f t="shared" si="6"/>
        <v>3737500</v>
      </c>
      <c r="X94" s="55" t="s">
        <v>582</v>
      </c>
      <c r="Y94" s="224"/>
      <c r="Z94" s="31">
        <v>59</v>
      </c>
    </row>
    <row r="95" spans="1:26" ht="12.75" hidden="1" outlineLevel="2" x14ac:dyDescent="0.2">
      <c r="A95" s="251" t="s">
        <v>375</v>
      </c>
      <c r="B95" s="251" t="s">
        <v>376</v>
      </c>
      <c r="C95" s="251" t="s">
        <v>292</v>
      </c>
      <c r="D95" s="251" t="s">
        <v>293</v>
      </c>
      <c r="E95" s="252" t="s">
        <v>16</v>
      </c>
      <c r="F95" s="253" t="s">
        <v>108</v>
      </c>
      <c r="G95" s="267">
        <v>2</v>
      </c>
      <c r="H95" s="267">
        <v>1</v>
      </c>
      <c r="I95" s="268">
        <v>886</v>
      </c>
      <c r="J95" s="268">
        <v>1118</v>
      </c>
      <c r="K95" s="259">
        <v>710</v>
      </c>
      <c r="L95" s="259">
        <v>434</v>
      </c>
      <c r="M95" s="260">
        <f t="shared" si="0"/>
        <v>3148</v>
      </c>
      <c r="N95" s="255">
        <v>2990</v>
      </c>
      <c r="O95" s="255">
        <v>2990</v>
      </c>
      <c r="P95" s="255">
        <v>2990</v>
      </c>
      <c r="Q95" s="255">
        <v>2990</v>
      </c>
      <c r="R95" s="262">
        <f t="shared" si="32"/>
        <v>9412520</v>
      </c>
      <c r="S95" s="269">
        <f t="shared" si="33"/>
        <v>2649140</v>
      </c>
      <c r="T95" s="269">
        <f t="shared" si="34"/>
        <v>3342820</v>
      </c>
      <c r="U95" s="269">
        <f t="shared" si="35"/>
        <v>2122900</v>
      </c>
      <c r="V95" s="269">
        <f t="shared" si="36"/>
        <v>1297660</v>
      </c>
      <c r="W95" s="262">
        <f t="shared" si="6"/>
        <v>9412520</v>
      </c>
      <c r="X95" s="55" t="s">
        <v>582</v>
      </c>
      <c r="Y95" s="224"/>
      <c r="Z95" s="31">
        <v>60</v>
      </c>
    </row>
    <row r="96" spans="1:26" ht="12.75" hidden="1" outlineLevel="2" x14ac:dyDescent="0.2">
      <c r="A96" s="251" t="s">
        <v>375</v>
      </c>
      <c r="B96" s="251" t="s">
        <v>376</v>
      </c>
      <c r="C96" s="251" t="s">
        <v>292</v>
      </c>
      <c r="D96" s="251" t="s">
        <v>294</v>
      </c>
      <c r="E96" s="252" t="s">
        <v>17</v>
      </c>
      <c r="F96" s="253" t="s">
        <v>290</v>
      </c>
      <c r="G96" s="270">
        <v>2</v>
      </c>
      <c r="H96" s="270">
        <v>1</v>
      </c>
      <c r="I96" s="259">
        <v>11</v>
      </c>
      <c r="J96" s="259">
        <v>42</v>
      </c>
      <c r="K96" s="259">
        <v>24</v>
      </c>
      <c r="L96" s="259">
        <v>13</v>
      </c>
      <c r="M96" s="260">
        <f t="shared" si="0"/>
        <v>90</v>
      </c>
      <c r="N96" s="255">
        <v>2990</v>
      </c>
      <c r="O96" s="255">
        <v>2990</v>
      </c>
      <c r="P96" s="255">
        <v>2990</v>
      </c>
      <c r="Q96" s="255">
        <v>2990</v>
      </c>
      <c r="R96" s="262">
        <f t="shared" si="32"/>
        <v>269100</v>
      </c>
      <c r="S96" s="269">
        <f t="shared" si="33"/>
        <v>32890</v>
      </c>
      <c r="T96" s="269">
        <f t="shared" si="34"/>
        <v>125580</v>
      </c>
      <c r="U96" s="269">
        <f t="shared" si="35"/>
        <v>71760</v>
      </c>
      <c r="V96" s="269">
        <f t="shared" si="36"/>
        <v>38870</v>
      </c>
      <c r="W96" s="262">
        <f t="shared" si="6"/>
        <v>269100</v>
      </c>
      <c r="X96" s="55" t="s">
        <v>582</v>
      </c>
      <c r="Y96" s="55"/>
      <c r="Z96" s="31">
        <v>61</v>
      </c>
    </row>
    <row r="97" spans="1:26" ht="12.75" hidden="1" outlineLevel="2" x14ac:dyDescent="0.2">
      <c r="A97" s="251" t="s">
        <v>375</v>
      </c>
      <c r="B97" s="251" t="s">
        <v>376</v>
      </c>
      <c r="C97" s="251" t="s">
        <v>292</v>
      </c>
      <c r="D97" s="251" t="s">
        <v>202</v>
      </c>
      <c r="E97" s="252" t="s">
        <v>17</v>
      </c>
      <c r="F97" s="253" t="s">
        <v>290</v>
      </c>
      <c r="G97" s="270">
        <v>2</v>
      </c>
      <c r="H97" s="270">
        <v>1</v>
      </c>
      <c r="I97" s="259">
        <v>247</v>
      </c>
      <c r="J97" s="259">
        <v>370</v>
      </c>
      <c r="K97" s="259">
        <v>346</v>
      </c>
      <c r="L97" s="259">
        <v>264</v>
      </c>
      <c r="M97" s="260">
        <f t="shared" si="0"/>
        <v>1227</v>
      </c>
      <c r="N97" s="255">
        <v>2990</v>
      </c>
      <c r="O97" s="255">
        <v>2990</v>
      </c>
      <c r="P97" s="255">
        <v>2990</v>
      </c>
      <c r="Q97" s="255">
        <v>2990</v>
      </c>
      <c r="R97" s="262">
        <f t="shared" si="32"/>
        <v>3668730</v>
      </c>
      <c r="S97" s="269">
        <f t="shared" si="33"/>
        <v>738530</v>
      </c>
      <c r="T97" s="269">
        <f t="shared" si="34"/>
        <v>1106300</v>
      </c>
      <c r="U97" s="269">
        <f t="shared" si="35"/>
        <v>1034540</v>
      </c>
      <c r="V97" s="269">
        <f t="shared" si="36"/>
        <v>789360</v>
      </c>
      <c r="W97" s="262">
        <f t="shared" si="6"/>
        <v>3668730</v>
      </c>
      <c r="X97" s="55" t="s">
        <v>582</v>
      </c>
      <c r="Y97" s="55"/>
      <c r="Z97" s="31">
        <v>62</v>
      </c>
    </row>
    <row r="98" spans="1:26" ht="12.75" hidden="1" outlineLevel="2" x14ac:dyDescent="0.2">
      <c r="A98" s="251" t="s">
        <v>375</v>
      </c>
      <c r="B98" s="251" t="s">
        <v>376</v>
      </c>
      <c r="C98" s="251" t="s">
        <v>292</v>
      </c>
      <c r="D98" s="251" t="s">
        <v>295</v>
      </c>
      <c r="E98" s="252" t="s">
        <v>37</v>
      </c>
      <c r="F98" s="253" t="s">
        <v>290</v>
      </c>
      <c r="G98" s="270">
        <v>2</v>
      </c>
      <c r="H98" s="270">
        <v>1</v>
      </c>
      <c r="I98" s="259">
        <v>75</v>
      </c>
      <c r="J98" s="259">
        <v>90</v>
      </c>
      <c r="K98" s="259">
        <v>51</v>
      </c>
      <c r="L98" s="259">
        <v>54</v>
      </c>
      <c r="M98" s="260">
        <f t="shared" si="0"/>
        <v>270</v>
      </c>
      <c r="N98" s="255">
        <v>2990</v>
      </c>
      <c r="O98" s="255">
        <v>2990</v>
      </c>
      <c r="P98" s="255">
        <v>2990</v>
      </c>
      <c r="Q98" s="255">
        <v>2990</v>
      </c>
      <c r="R98" s="262">
        <f t="shared" si="32"/>
        <v>807300</v>
      </c>
      <c r="S98" s="269">
        <f t="shared" si="33"/>
        <v>224250</v>
      </c>
      <c r="T98" s="269">
        <f t="shared" si="34"/>
        <v>269100</v>
      </c>
      <c r="U98" s="269">
        <f t="shared" si="35"/>
        <v>152490</v>
      </c>
      <c r="V98" s="269">
        <f t="shared" si="36"/>
        <v>161460</v>
      </c>
      <c r="W98" s="262">
        <f t="shared" si="6"/>
        <v>807300</v>
      </c>
      <c r="X98" s="55" t="s">
        <v>582</v>
      </c>
      <c r="Y98" s="55"/>
      <c r="Z98" s="31">
        <v>63</v>
      </c>
    </row>
    <row r="99" spans="1:26" ht="12.75" hidden="1" outlineLevel="2" x14ac:dyDescent="0.2">
      <c r="A99" s="251" t="s">
        <v>375</v>
      </c>
      <c r="B99" s="251" t="s">
        <v>376</v>
      </c>
      <c r="C99" s="251" t="s">
        <v>612</v>
      </c>
      <c r="D99" s="251" t="s">
        <v>613</v>
      </c>
      <c r="E99" s="252" t="s">
        <v>16</v>
      </c>
      <c r="F99" s="253" t="s">
        <v>108</v>
      </c>
      <c r="G99" s="270">
        <v>2</v>
      </c>
      <c r="H99" s="270">
        <v>1</v>
      </c>
      <c r="I99" s="259"/>
      <c r="J99" s="259"/>
      <c r="K99" s="259">
        <v>5</v>
      </c>
      <c r="L99" s="259">
        <v>185</v>
      </c>
      <c r="M99" s="260">
        <f t="shared" ref="M99:M104" si="37">SUM(I99:L99)</f>
        <v>190</v>
      </c>
      <c r="N99" s="255"/>
      <c r="O99" s="255"/>
      <c r="P99" s="255">
        <v>3026</v>
      </c>
      <c r="Q99" s="255">
        <v>3026</v>
      </c>
      <c r="R99" s="262">
        <f t="shared" ref="R99:R104" si="38">SUMPRODUCT(I99:L99,N99:Q99)</f>
        <v>574940</v>
      </c>
      <c r="S99" s="269">
        <f t="shared" ref="S99:S104" si="39">IF(N99&gt;prisgrense,I99*prisgrense,I99*N99)</f>
        <v>0</v>
      </c>
      <c r="T99" s="269">
        <f t="shared" ref="T99:T104" si="40">IF(O99&gt;prisgrense,J99*prisgrense,J99*O99)</f>
        <v>0</v>
      </c>
      <c r="U99" s="269">
        <f t="shared" ref="U99:U104" si="41">IF(P99&gt;prisgrense,K99*prisgrense,K99*P99)</f>
        <v>15130</v>
      </c>
      <c r="V99" s="269">
        <f t="shared" ref="V99:V104" si="42">IF(Q99&gt;prisgrense,L99*prisgrense,L99*Q99)</f>
        <v>559810</v>
      </c>
      <c r="W99" s="262">
        <f t="shared" ref="W99:W104" si="43">SUM(S99:V99)</f>
        <v>574940</v>
      </c>
      <c r="X99" s="55" t="s">
        <v>583</v>
      </c>
      <c r="Y99" s="55"/>
    </row>
    <row r="100" spans="1:26" ht="12.75" hidden="1" outlineLevel="2" x14ac:dyDescent="0.2">
      <c r="A100" s="251" t="s">
        <v>375</v>
      </c>
      <c r="B100" s="251" t="s">
        <v>376</v>
      </c>
      <c r="C100" s="251" t="s">
        <v>612</v>
      </c>
      <c r="D100" s="251" t="s">
        <v>614</v>
      </c>
      <c r="E100" s="252" t="s">
        <v>16</v>
      </c>
      <c r="F100" s="253" t="s">
        <v>108</v>
      </c>
      <c r="G100" s="270">
        <v>2</v>
      </c>
      <c r="H100" s="270">
        <v>1</v>
      </c>
      <c r="I100" s="259"/>
      <c r="J100" s="259"/>
      <c r="K100" s="259">
        <v>12</v>
      </c>
      <c r="L100" s="259">
        <v>158</v>
      </c>
      <c r="M100" s="260">
        <f t="shared" si="37"/>
        <v>170</v>
      </c>
      <c r="N100" s="255"/>
      <c r="O100" s="255"/>
      <c r="P100" s="255">
        <v>3026</v>
      </c>
      <c r="Q100" s="255">
        <v>3026</v>
      </c>
      <c r="R100" s="262">
        <f t="shared" si="38"/>
        <v>514420</v>
      </c>
      <c r="S100" s="269">
        <f t="shared" si="39"/>
        <v>0</v>
      </c>
      <c r="T100" s="269">
        <f t="shared" si="40"/>
        <v>0</v>
      </c>
      <c r="U100" s="269">
        <f t="shared" si="41"/>
        <v>36312</v>
      </c>
      <c r="V100" s="269">
        <f t="shared" si="42"/>
        <v>478108</v>
      </c>
      <c r="W100" s="262">
        <f t="shared" si="43"/>
        <v>514420</v>
      </c>
      <c r="X100" s="55" t="s">
        <v>583</v>
      </c>
      <c r="Y100" s="55"/>
    </row>
    <row r="101" spans="1:26" ht="12.75" hidden="1" outlineLevel="2" x14ac:dyDescent="0.2">
      <c r="A101" s="251" t="s">
        <v>375</v>
      </c>
      <c r="B101" s="251" t="s">
        <v>376</v>
      </c>
      <c r="C101" s="251" t="s">
        <v>612</v>
      </c>
      <c r="D101" s="251" t="s">
        <v>615</v>
      </c>
      <c r="E101" s="252" t="s">
        <v>16</v>
      </c>
      <c r="F101" s="253" t="s">
        <v>108</v>
      </c>
      <c r="G101" s="270">
        <v>2</v>
      </c>
      <c r="H101" s="270">
        <v>1</v>
      </c>
      <c r="I101" s="259"/>
      <c r="J101" s="259"/>
      <c r="K101" s="259">
        <v>84</v>
      </c>
      <c r="L101" s="259">
        <v>803</v>
      </c>
      <c r="M101" s="260">
        <f t="shared" si="37"/>
        <v>887</v>
      </c>
      <c r="N101" s="255"/>
      <c r="O101" s="255"/>
      <c r="P101" s="255">
        <v>3026</v>
      </c>
      <c r="Q101" s="255">
        <v>3026</v>
      </c>
      <c r="R101" s="262">
        <f t="shared" si="38"/>
        <v>2684062</v>
      </c>
      <c r="S101" s="269">
        <f t="shared" si="39"/>
        <v>0</v>
      </c>
      <c r="T101" s="269">
        <f t="shared" si="40"/>
        <v>0</v>
      </c>
      <c r="U101" s="269">
        <f t="shared" si="41"/>
        <v>254184</v>
      </c>
      <c r="V101" s="269">
        <f t="shared" si="42"/>
        <v>2429878</v>
      </c>
      <c r="W101" s="262">
        <f t="shared" si="43"/>
        <v>2684062</v>
      </c>
      <c r="X101" s="55" t="s">
        <v>583</v>
      </c>
      <c r="Y101" s="55"/>
    </row>
    <row r="102" spans="1:26" ht="12.75" hidden="1" outlineLevel="2" x14ac:dyDescent="0.2">
      <c r="A102" s="251" t="s">
        <v>375</v>
      </c>
      <c r="B102" s="251" t="s">
        <v>376</v>
      </c>
      <c r="C102" s="251" t="s">
        <v>612</v>
      </c>
      <c r="D102" s="251" t="s">
        <v>616</v>
      </c>
      <c r="E102" s="252" t="s">
        <v>17</v>
      </c>
      <c r="F102" s="253" t="s">
        <v>290</v>
      </c>
      <c r="G102" s="270">
        <v>2</v>
      </c>
      <c r="H102" s="270">
        <v>1</v>
      </c>
      <c r="I102" s="259"/>
      <c r="J102" s="259"/>
      <c r="K102" s="259">
        <v>0</v>
      </c>
      <c r="L102" s="259">
        <v>8</v>
      </c>
      <c r="M102" s="260">
        <f t="shared" si="37"/>
        <v>8</v>
      </c>
      <c r="N102" s="255"/>
      <c r="O102" s="255"/>
      <c r="P102" s="255">
        <v>3026</v>
      </c>
      <c r="Q102" s="255">
        <v>3026</v>
      </c>
      <c r="R102" s="262">
        <f t="shared" si="38"/>
        <v>24208</v>
      </c>
      <c r="S102" s="269">
        <f t="shared" si="39"/>
        <v>0</v>
      </c>
      <c r="T102" s="269">
        <f t="shared" si="40"/>
        <v>0</v>
      </c>
      <c r="U102" s="269">
        <f t="shared" si="41"/>
        <v>0</v>
      </c>
      <c r="V102" s="269">
        <f t="shared" si="42"/>
        <v>24208</v>
      </c>
      <c r="W102" s="262">
        <f t="shared" si="43"/>
        <v>24208</v>
      </c>
      <c r="X102" s="55" t="s">
        <v>583</v>
      </c>
      <c r="Y102" s="55"/>
    </row>
    <row r="103" spans="1:26" ht="12.75" hidden="1" outlineLevel="2" x14ac:dyDescent="0.2">
      <c r="A103" s="251" t="s">
        <v>375</v>
      </c>
      <c r="B103" s="251" t="s">
        <v>376</v>
      </c>
      <c r="C103" s="251" t="s">
        <v>612</v>
      </c>
      <c r="D103" s="251" t="s">
        <v>617</v>
      </c>
      <c r="E103" s="252" t="s">
        <v>17</v>
      </c>
      <c r="F103" s="253" t="s">
        <v>290</v>
      </c>
      <c r="G103" s="270">
        <v>2</v>
      </c>
      <c r="H103" s="270">
        <v>1</v>
      </c>
      <c r="I103" s="259"/>
      <c r="J103" s="259"/>
      <c r="K103" s="259">
        <v>12</v>
      </c>
      <c r="L103" s="259">
        <v>165</v>
      </c>
      <c r="M103" s="260">
        <f t="shared" si="37"/>
        <v>177</v>
      </c>
      <c r="N103" s="255"/>
      <c r="O103" s="255"/>
      <c r="P103" s="255">
        <v>3026</v>
      </c>
      <c r="Q103" s="255">
        <v>3026</v>
      </c>
      <c r="R103" s="262">
        <f t="shared" si="38"/>
        <v>535602</v>
      </c>
      <c r="S103" s="269">
        <f t="shared" si="39"/>
        <v>0</v>
      </c>
      <c r="T103" s="269">
        <f t="shared" si="40"/>
        <v>0</v>
      </c>
      <c r="U103" s="269">
        <f t="shared" si="41"/>
        <v>36312</v>
      </c>
      <c r="V103" s="269">
        <f t="shared" si="42"/>
        <v>499290</v>
      </c>
      <c r="W103" s="262">
        <f t="shared" si="43"/>
        <v>535602</v>
      </c>
      <c r="X103" s="55" t="s">
        <v>583</v>
      </c>
      <c r="Y103" s="55"/>
    </row>
    <row r="104" spans="1:26" ht="12.75" hidden="1" outlineLevel="2" x14ac:dyDescent="0.2">
      <c r="A104" s="251" t="s">
        <v>375</v>
      </c>
      <c r="B104" s="251" t="s">
        <v>376</v>
      </c>
      <c r="C104" s="251" t="s">
        <v>612</v>
      </c>
      <c r="D104" s="251" t="s">
        <v>618</v>
      </c>
      <c r="E104" s="252" t="s">
        <v>16</v>
      </c>
      <c r="F104" s="253" t="s">
        <v>106</v>
      </c>
      <c r="G104" s="270">
        <v>2</v>
      </c>
      <c r="H104" s="270">
        <v>1</v>
      </c>
      <c r="I104" s="259"/>
      <c r="J104" s="259"/>
      <c r="K104" s="259">
        <v>14</v>
      </c>
      <c r="L104" s="259">
        <v>259</v>
      </c>
      <c r="M104" s="260">
        <f t="shared" si="37"/>
        <v>273</v>
      </c>
      <c r="N104" s="255"/>
      <c r="O104" s="255"/>
      <c r="P104" s="255">
        <v>3026</v>
      </c>
      <c r="Q104" s="255">
        <v>3026</v>
      </c>
      <c r="R104" s="262">
        <f t="shared" si="38"/>
        <v>826098</v>
      </c>
      <c r="S104" s="269">
        <f t="shared" si="39"/>
        <v>0</v>
      </c>
      <c r="T104" s="269">
        <f t="shared" si="40"/>
        <v>0</v>
      </c>
      <c r="U104" s="269">
        <f t="shared" si="41"/>
        <v>42364</v>
      </c>
      <c r="V104" s="269">
        <f t="shared" si="42"/>
        <v>783734</v>
      </c>
      <c r="W104" s="262">
        <f t="shared" si="43"/>
        <v>826098</v>
      </c>
      <c r="X104" s="55" t="s">
        <v>583</v>
      </c>
      <c r="Y104" s="55"/>
    </row>
    <row r="105" spans="1:26" ht="12.75" hidden="1" outlineLevel="2" x14ac:dyDescent="0.2">
      <c r="A105" s="251" t="s">
        <v>377</v>
      </c>
      <c r="B105" s="251" t="s">
        <v>378</v>
      </c>
      <c r="C105" s="251" t="s">
        <v>296</v>
      </c>
      <c r="D105" s="251" t="s">
        <v>238</v>
      </c>
      <c r="E105" s="252" t="s">
        <v>291</v>
      </c>
      <c r="F105" s="253" t="s">
        <v>561</v>
      </c>
      <c r="G105" s="270">
        <v>2</v>
      </c>
      <c r="H105" s="270">
        <v>2</v>
      </c>
      <c r="I105" s="259">
        <v>0</v>
      </c>
      <c r="J105" s="259"/>
      <c r="K105" s="259"/>
      <c r="L105" s="259"/>
      <c r="M105" s="260">
        <f t="shared" si="0"/>
        <v>0</v>
      </c>
      <c r="N105" s="255">
        <v>2200</v>
      </c>
      <c r="O105" s="255">
        <v>2200</v>
      </c>
      <c r="P105" s="255">
        <v>2200</v>
      </c>
      <c r="Q105" s="255">
        <v>2200</v>
      </c>
      <c r="R105" s="262">
        <f t="shared" si="32"/>
        <v>0</v>
      </c>
      <c r="S105" s="269">
        <f t="shared" si="33"/>
        <v>0</v>
      </c>
      <c r="T105" s="269">
        <f t="shared" si="34"/>
        <v>0</v>
      </c>
      <c r="U105" s="269">
        <f t="shared" si="35"/>
        <v>0</v>
      </c>
      <c r="V105" s="269">
        <f t="shared" si="36"/>
        <v>0</v>
      </c>
      <c r="W105" s="262">
        <f t="shared" si="6"/>
        <v>0</v>
      </c>
      <c r="X105" s="55"/>
      <c r="Y105" s="55"/>
      <c r="Z105" s="31">
        <v>64</v>
      </c>
    </row>
    <row r="106" spans="1:26" ht="12.75" hidden="1" outlineLevel="2" x14ac:dyDescent="0.2">
      <c r="A106" s="251" t="s">
        <v>377</v>
      </c>
      <c r="B106" s="251" t="s">
        <v>378</v>
      </c>
      <c r="C106" s="251">
        <v>501</v>
      </c>
      <c r="D106" s="251" t="s">
        <v>297</v>
      </c>
      <c r="E106" s="252" t="s">
        <v>16</v>
      </c>
      <c r="F106" s="253" t="s">
        <v>108</v>
      </c>
      <c r="G106" s="270">
        <v>2</v>
      </c>
      <c r="H106" s="270">
        <v>2</v>
      </c>
      <c r="I106" s="259">
        <v>0</v>
      </c>
      <c r="J106" s="259"/>
      <c r="K106" s="259"/>
      <c r="L106" s="259"/>
      <c r="M106" s="260">
        <f t="shared" si="0"/>
        <v>0</v>
      </c>
      <c r="N106" s="255">
        <v>2200</v>
      </c>
      <c r="O106" s="255">
        <v>2200</v>
      </c>
      <c r="P106" s="255">
        <v>2200</v>
      </c>
      <c r="Q106" s="255">
        <v>2200</v>
      </c>
      <c r="R106" s="262">
        <f t="shared" si="32"/>
        <v>0</v>
      </c>
      <c r="S106" s="269">
        <f t="shared" si="33"/>
        <v>0</v>
      </c>
      <c r="T106" s="269">
        <f t="shared" si="34"/>
        <v>0</v>
      </c>
      <c r="U106" s="269">
        <f t="shared" si="35"/>
        <v>0</v>
      </c>
      <c r="V106" s="269">
        <f t="shared" si="36"/>
        <v>0</v>
      </c>
      <c r="W106" s="262">
        <f t="shared" si="6"/>
        <v>0</v>
      </c>
      <c r="X106" s="55"/>
      <c r="Y106" s="55"/>
      <c r="Z106" s="31">
        <v>65</v>
      </c>
    </row>
    <row r="107" spans="1:26" ht="12.75" hidden="1" outlineLevel="2" x14ac:dyDescent="0.2">
      <c r="A107" s="251" t="s">
        <v>377</v>
      </c>
      <c r="B107" s="251" t="s">
        <v>378</v>
      </c>
      <c r="C107" s="251">
        <v>501</v>
      </c>
      <c r="D107" s="251" t="s">
        <v>298</v>
      </c>
      <c r="E107" s="252" t="s">
        <v>16</v>
      </c>
      <c r="F107" s="253" t="s">
        <v>108</v>
      </c>
      <c r="G107" s="270">
        <v>2</v>
      </c>
      <c r="H107" s="270">
        <v>2</v>
      </c>
      <c r="I107" s="259">
        <v>0</v>
      </c>
      <c r="J107" s="259"/>
      <c r="K107" s="259"/>
      <c r="L107" s="259"/>
      <c r="M107" s="260">
        <f t="shared" si="0"/>
        <v>0</v>
      </c>
      <c r="N107" s="255">
        <v>2200</v>
      </c>
      <c r="O107" s="255">
        <v>2200</v>
      </c>
      <c r="P107" s="255">
        <v>2200</v>
      </c>
      <c r="Q107" s="255">
        <v>2200</v>
      </c>
      <c r="R107" s="262">
        <f t="shared" si="32"/>
        <v>0</v>
      </c>
      <c r="S107" s="269">
        <f t="shared" si="33"/>
        <v>0</v>
      </c>
      <c r="T107" s="269">
        <f t="shared" si="34"/>
        <v>0</v>
      </c>
      <c r="U107" s="269">
        <f t="shared" si="35"/>
        <v>0</v>
      </c>
      <c r="V107" s="269">
        <f t="shared" si="36"/>
        <v>0</v>
      </c>
      <c r="W107" s="262">
        <f t="shared" si="6"/>
        <v>0</v>
      </c>
      <c r="X107" s="55"/>
      <c r="Y107" s="55"/>
      <c r="Z107" s="31">
        <v>66</v>
      </c>
    </row>
    <row r="108" spans="1:26" ht="12.75" hidden="1" outlineLevel="2" x14ac:dyDescent="0.2">
      <c r="A108" s="251" t="s">
        <v>377</v>
      </c>
      <c r="B108" s="251" t="s">
        <v>378</v>
      </c>
      <c r="C108" s="251">
        <v>501</v>
      </c>
      <c r="D108" s="251" t="s">
        <v>240</v>
      </c>
      <c r="E108" s="252" t="s">
        <v>17</v>
      </c>
      <c r="F108" s="253" t="s">
        <v>290</v>
      </c>
      <c r="G108" s="270">
        <v>2</v>
      </c>
      <c r="H108" s="270">
        <v>2</v>
      </c>
      <c r="I108" s="259">
        <v>0</v>
      </c>
      <c r="J108" s="259"/>
      <c r="K108" s="259"/>
      <c r="L108" s="259"/>
      <c r="M108" s="260">
        <f t="shared" si="0"/>
        <v>0</v>
      </c>
      <c r="N108" s="255">
        <v>2200</v>
      </c>
      <c r="O108" s="255">
        <v>2200</v>
      </c>
      <c r="P108" s="255">
        <v>2200</v>
      </c>
      <c r="Q108" s="255">
        <v>2200</v>
      </c>
      <c r="R108" s="262">
        <f t="shared" si="32"/>
        <v>0</v>
      </c>
      <c r="S108" s="269">
        <f t="shared" si="33"/>
        <v>0</v>
      </c>
      <c r="T108" s="269">
        <f t="shared" si="34"/>
        <v>0</v>
      </c>
      <c r="U108" s="269">
        <f t="shared" si="35"/>
        <v>0</v>
      </c>
      <c r="V108" s="269">
        <f t="shared" si="36"/>
        <v>0</v>
      </c>
      <c r="W108" s="262">
        <f t="shared" si="6"/>
        <v>0</v>
      </c>
      <c r="X108" s="55"/>
      <c r="Y108" s="55"/>
      <c r="Z108" s="31">
        <v>67</v>
      </c>
    </row>
    <row r="109" spans="1:26" ht="12.75" hidden="1" outlineLevel="2" x14ac:dyDescent="0.2">
      <c r="A109" s="251" t="s">
        <v>377</v>
      </c>
      <c r="B109" s="251" t="s">
        <v>378</v>
      </c>
      <c r="C109" s="251">
        <v>501</v>
      </c>
      <c r="D109" s="251" t="s">
        <v>241</v>
      </c>
      <c r="E109" s="252" t="s">
        <v>17</v>
      </c>
      <c r="F109" s="253" t="s">
        <v>290</v>
      </c>
      <c r="G109" s="270">
        <v>2</v>
      </c>
      <c r="H109" s="270">
        <v>2</v>
      </c>
      <c r="I109" s="259">
        <v>0</v>
      </c>
      <c r="J109" s="259"/>
      <c r="K109" s="259"/>
      <c r="L109" s="259"/>
      <c r="M109" s="260">
        <f t="shared" si="0"/>
        <v>0</v>
      </c>
      <c r="N109" s="255">
        <v>2200</v>
      </c>
      <c r="O109" s="255">
        <v>2200</v>
      </c>
      <c r="P109" s="255">
        <v>2200</v>
      </c>
      <c r="Q109" s="255">
        <v>2200</v>
      </c>
      <c r="R109" s="262">
        <f t="shared" si="32"/>
        <v>0</v>
      </c>
      <c r="S109" s="269">
        <f t="shared" si="33"/>
        <v>0</v>
      </c>
      <c r="T109" s="269">
        <f t="shared" si="34"/>
        <v>0</v>
      </c>
      <c r="U109" s="269">
        <f t="shared" si="35"/>
        <v>0</v>
      </c>
      <c r="V109" s="269">
        <f t="shared" si="36"/>
        <v>0</v>
      </c>
      <c r="W109" s="262">
        <f t="shared" si="6"/>
        <v>0</v>
      </c>
      <c r="X109" s="55"/>
      <c r="Y109" s="55"/>
      <c r="Z109" s="31">
        <v>68</v>
      </c>
    </row>
    <row r="110" spans="1:26" ht="12.75" hidden="1" outlineLevel="2" x14ac:dyDescent="0.2">
      <c r="A110" s="251" t="s">
        <v>377</v>
      </c>
      <c r="B110" s="251" t="s">
        <v>378</v>
      </c>
      <c r="C110" s="251">
        <v>501</v>
      </c>
      <c r="D110" s="251" t="s">
        <v>242</v>
      </c>
      <c r="E110" s="252" t="s">
        <v>37</v>
      </c>
      <c r="F110" s="253" t="s">
        <v>290</v>
      </c>
      <c r="G110" s="270">
        <v>2</v>
      </c>
      <c r="H110" s="270">
        <v>2</v>
      </c>
      <c r="I110" s="259">
        <v>0</v>
      </c>
      <c r="J110" s="259"/>
      <c r="K110" s="259"/>
      <c r="L110" s="259"/>
      <c r="M110" s="260">
        <f t="shared" ref="M110:M266" si="44">SUM(I110:L110)</f>
        <v>0</v>
      </c>
      <c r="N110" s="255">
        <v>2200</v>
      </c>
      <c r="O110" s="255">
        <v>2200</v>
      </c>
      <c r="P110" s="255">
        <v>2200</v>
      </c>
      <c r="Q110" s="255">
        <v>2200</v>
      </c>
      <c r="R110" s="262">
        <f t="shared" si="32"/>
        <v>0</v>
      </c>
      <c r="S110" s="269">
        <f t="shared" si="33"/>
        <v>0</v>
      </c>
      <c r="T110" s="269">
        <f t="shared" si="34"/>
        <v>0</v>
      </c>
      <c r="U110" s="269">
        <f t="shared" si="35"/>
        <v>0</v>
      </c>
      <c r="V110" s="269">
        <f t="shared" si="36"/>
        <v>0</v>
      </c>
      <c r="W110" s="262">
        <f t="shared" si="6"/>
        <v>0</v>
      </c>
      <c r="X110" s="55"/>
      <c r="Y110" s="55"/>
      <c r="Z110" s="31">
        <v>69</v>
      </c>
    </row>
    <row r="111" spans="1:26" ht="12.75" hidden="1" outlineLevel="2" x14ac:dyDescent="0.2">
      <c r="A111" s="251" t="s">
        <v>377</v>
      </c>
      <c r="B111" s="251" t="s">
        <v>378</v>
      </c>
      <c r="C111" s="251">
        <v>501</v>
      </c>
      <c r="D111" s="251" t="s">
        <v>299</v>
      </c>
      <c r="E111" s="252" t="s">
        <v>16</v>
      </c>
      <c r="F111" s="253" t="s">
        <v>106</v>
      </c>
      <c r="G111" s="267">
        <v>2</v>
      </c>
      <c r="H111" s="267">
        <v>2</v>
      </c>
      <c r="I111" s="259">
        <v>0</v>
      </c>
      <c r="J111" s="259"/>
      <c r="K111" s="259"/>
      <c r="L111" s="259"/>
      <c r="M111" s="260">
        <f t="shared" ref="M111:M198" si="45">SUM(I111:L111)</f>
        <v>0</v>
      </c>
      <c r="N111" s="255">
        <v>2200</v>
      </c>
      <c r="O111" s="255">
        <v>2200</v>
      </c>
      <c r="P111" s="255">
        <v>2200</v>
      </c>
      <c r="Q111" s="255">
        <v>2200</v>
      </c>
      <c r="R111" s="262">
        <f t="shared" si="32"/>
        <v>0</v>
      </c>
      <c r="S111" s="269">
        <f t="shared" si="33"/>
        <v>0</v>
      </c>
      <c r="T111" s="269">
        <f t="shared" si="34"/>
        <v>0</v>
      </c>
      <c r="U111" s="269">
        <f t="shared" si="35"/>
        <v>0</v>
      </c>
      <c r="V111" s="269">
        <f t="shared" si="36"/>
        <v>0</v>
      </c>
      <c r="W111" s="262">
        <f t="shared" si="6"/>
        <v>0</v>
      </c>
      <c r="X111" s="55"/>
      <c r="Y111" s="55"/>
      <c r="Z111" s="31">
        <v>76</v>
      </c>
    </row>
    <row r="112" spans="1:26" ht="12.75" hidden="1" outlineLevel="2" x14ac:dyDescent="0.2">
      <c r="A112" s="251" t="s">
        <v>375</v>
      </c>
      <c r="B112" s="251" t="s">
        <v>376</v>
      </c>
      <c r="C112" s="251" t="s">
        <v>300</v>
      </c>
      <c r="D112" s="251" t="s">
        <v>301</v>
      </c>
      <c r="E112" s="252" t="s">
        <v>16</v>
      </c>
      <c r="F112" s="253" t="s">
        <v>108</v>
      </c>
      <c r="G112" s="267">
        <v>2</v>
      </c>
      <c r="H112" s="267">
        <v>3</v>
      </c>
      <c r="I112" s="259">
        <v>4</v>
      </c>
      <c r="J112" s="259">
        <v>-4</v>
      </c>
      <c r="K112" s="259">
        <v>0</v>
      </c>
      <c r="L112" s="259">
        <v>0</v>
      </c>
      <c r="M112" s="260">
        <f t="shared" si="45"/>
        <v>0</v>
      </c>
      <c r="N112" s="255">
        <v>2790</v>
      </c>
      <c r="O112" s="255">
        <v>2790</v>
      </c>
      <c r="P112" s="255">
        <v>2790</v>
      </c>
      <c r="Q112" s="255">
        <v>2790</v>
      </c>
      <c r="R112" s="262">
        <f t="shared" si="32"/>
        <v>0</v>
      </c>
      <c r="S112" s="269">
        <f t="shared" si="33"/>
        <v>11160</v>
      </c>
      <c r="T112" s="269">
        <f t="shared" si="34"/>
        <v>-11160</v>
      </c>
      <c r="U112" s="269">
        <f t="shared" si="35"/>
        <v>0</v>
      </c>
      <c r="V112" s="269">
        <f t="shared" si="36"/>
        <v>0</v>
      </c>
      <c r="W112" s="262">
        <f t="shared" si="6"/>
        <v>0</v>
      </c>
      <c r="X112" s="55" t="s">
        <v>582</v>
      </c>
      <c r="Y112" s="55"/>
      <c r="Z112" s="31">
        <v>76</v>
      </c>
    </row>
    <row r="113" spans="1:26" ht="12.75" hidden="1" outlineLevel="2" x14ac:dyDescent="0.2">
      <c r="A113" s="251" t="s">
        <v>375</v>
      </c>
      <c r="B113" s="251" t="s">
        <v>376</v>
      </c>
      <c r="C113" s="251" t="s">
        <v>300</v>
      </c>
      <c r="D113" s="251" t="s">
        <v>197</v>
      </c>
      <c r="E113" s="252" t="s">
        <v>16</v>
      </c>
      <c r="F113" s="253" t="s">
        <v>108</v>
      </c>
      <c r="G113" s="267">
        <v>2</v>
      </c>
      <c r="H113" s="267">
        <v>3</v>
      </c>
      <c r="I113" s="259">
        <v>36</v>
      </c>
      <c r="J113" s="259">
        <v>24</v>
      </c>
      <c r="K113" s="259">
        <v>12</v>
      </c>
      <c r="L113" s="259">
        <v>13</v>
      </c>
      <c r="M113" s="260">
        <f t="shared" si="45"/>
        <v>85</v>
      </c>
      <c r="N113" s="255">
        <v>2790</v>
      </c>
      <c r="O113" s="255">
        <v>2790</v>
      </c>
      <c r="P113" s="255">
        <v>2790</v>
      </c>
      <c r="Q113" s="255">
        <v>2790</v>
      </c>
      <c r="R113" s="262">
        <f t="shared" si="32"/>
        <v>237150</v>
      </c>
      <c r="S113" s="269">
        <f t="shared" si="33"/>
        <v>100440</v>
      </c>
      <c r="T113" s="269">
        <f t="shared" si="34"/>
        <v>66960</v>
      </c>
      <c r="U113" s="269">
        <f t="shared" si="35"/>
        <v>33480</v>
      </c>
      <c r="V113" s="269">
        <f t="shared" si="36"/>
        <v>36270</v>
      </c>
      <c r="W113" s="262">
        <f t="shared" si="6"/>
        <v>237150</v>
      </c>
      <c r="X113" s="55" t="s">
        <v>582</v>
      </c>
      <c r="Y113" s="55"/>
      <c r="Z113" s="31">
        <v>76</v>
      </c>
    </row>
    <row r="114" spans="1:26" ht="12.75" hidden="1" outlineLevel="2" x14ac:dyDescent="0.2">
      <c r="A114" s="251" t="s">
        <v>375</v>
      </c>
      <c r="B114" s="251" t="s">
        <v>376</v>
      </c>
      <c r="C114" s="251" t="s">
        <v>300</v>
      </c>
      <c r="D114" s="251" t="s">
        <v>302</v>
      </c>
      <c r="E114" s="252" t="s">
        <v>16</v>
      </c>
      <c r="F114" s="253" t="s">
        <v>108</v>
      </c>
      <c r="G114" s="267">
        <v>2</v>
      </c>
      <c r="H114" s="267">
        <v>3</v>
      </c>
      <c r="I114" s="259">
        <v>10</v>
      </c>
      <c r="J114" s="259">
        <v>0</v>
      </c>
      <c r="K114" s="259">
        <v>1</v>
      </c>
      <c r="L114" s="259">
        <v>0</v>
      </c>
      <c r="M114" s="260">
        <f t="shared" si="45"/>
        <v>11</v>
      </c>
      <c r="N114" s="255">
        <v>2790</v>
      </c>
      <c r="O114" s="255">
        <v>2790</v>
      </c>
      <c r="P114" s="255">
        <v>2790</v>
      </c>
      <c r="Q114" s="255">
        <v>2790</v>
      </c>
      <c r="R114" s="262">
        <f t="shared" si="32"/>
        <v>30690</v>
      </c>
      <c r="S114" s="269">
        <f t="shared" si="33"/>
        <v>27900</v>
      </c>
      <c r="T114" s="269">
        <f t="shared" si="34"/>
        <v>0</v>
      </c>
      <c r="U114" s="269">
        <f t="shared" si="35"/>
        <v>2790</v>
      </c>
      <c r="V114" s="269">
        <f t="shared" si="36"/>
        <v>0</v>
      </c>
      <c r="W114" s="262">
        <f t="shared" si="6"/>
        <v>30690</v>
      </c>
      <c r="X114" s="55" t="s">
        <v>582</v>
      </c>
      <c r="Y114" s="55"/>
      <c r="Z114" s="31">
        <v>76</v>
      </c>
    </row>
    <row r="115" spans="1:26" ht="12.75" hidden="1" outlineLevel="2" x14ac:dyDescent="0.2">
      <c r="A115" s="251" t="s">
        <v>375</v>
      </c>
      <c r="B115" s="251" t="s">
        <v>376</v>
      </c>
      <c r="C115" s="251" t="s">
        <v>300</v>
      </c>
      <c r="D115" s="251" t="s">
        <v>303</v>
      </c>
      <c r="E115" s="252" t="s">
        <v>17</v>
      </c>
      <c r="F115" s="253" t="s">
        <v>290</v>
      </c>
      <c r="G115" s="267">
        <v>2</v>
      </c>
      <c r="H115" s="267">
        <v>3</v>
      </c>
      <c r="I115" s="259">
        <v>0</v>
      </c>
      <c r="J115" s="259">
        <v>0</v>
      </c>
      <c r="K115" s="259">
        <v>0</v>
      </c>
      <c r="L115" s="259">
        <v>0</v>
      </c>
      <c r="M115" s="260">
        <f t="shared" si="45"/>
        <v>0</v>
      </c>
      <c r="N115" s="255">
        <v>2790</v>
      </c>
      <c r="O115" s="255">
        <v>2790</v>
      </c>
      <c r="P115" s="255">
        <v>2790</v>
      </c>
      <c r="Q115" s="255">
        <v>2790</v>
      </c>
      <c r="R115" s="262">
        <f t="shared" si="32"/>
        <v>0</v>
      </c>
      <c r="S115" s="269">
        <f t="shared" si="33"/>
        <v>0</v>
      </c>
      <c r="T115" s="269">
        <f t="shared" si="34"/>
        <v>0</v>
      </c>
      <c r="U115" s="269">
        <f t="shared" si="35"/>
        <v>0</v>
      </c>
      <c r="V115" s="269">
        <f t="shared" si="36"/>
        <v>0</v>
      </c>
      <c r="W115" s="262">
        <f t="shared" si="6"/>
        <v>0</v>
      </c>
      <c r="X115" s="55" t="s">
        <v>582</v>
      </c>
      <c r="Y115" s="55"/>
      <c r="Z115" s="31">
        <v>76</v>
      </c>
    </row>
    <row r="116" spans="1:26" ht="12.75" hidden="1" outlineLevel="2" x14ac:dyDescent="0.2">
      <c r="A116" s="251" t="s">
        <v>375</v>
      </c>
      <c r="B116" s="251" t="s">
        <v>376</v>
      </c>
      <c r="C116" s="251" t="s">
        <v>300</v>
      </c>
      <c r="D116" s="251" t="s">
        <v>304</v>
      </c>
      <c r="E116" s="252" t="s">
        <v>17</v>
      </c>
      <c r="F116" s="253" t="s">
        <v>290</v>
      </c>
      <c r="G116" s="267">
        <v>2</v>
      </c>
      <c r="H116" s="267">
        <v>3</v>
      </c>
      <c r="I116" s="259">
        <v>0</v>
      </c>
      <c r="J116" s="259">
        <v>0</v>
      </c>
      <c r="K116" s="259">
        <v>0</v>
      </c>
      <c r="L116" s="259">
        <v>0</v>
      </c>
      <c r="M116" s="260">
        <f t="shared" si="45"/>
        <v>0</v>
      </c>
      <c r="N116" s="255">
        <v>2790</v>
      </c>
      <c r="O116" s="255">
        <v>2790</v>
      </c>
      <c r="P116" s="255">
        <v>2790</v>
      </c>
      <c r="Q116" s="255">
        <v>2790</v>
      </c>
      <c r="R116" s="262">
        <f t="shared" si="32"/>
        <v>0</v>
      </c>
      <c r="S116" s="269">
        <f t="shared" si="33"/>
        <v>0</v>
      </c>
      <c r="T116" s="269">
        <f t="shared" si="34"/>
        <v>0</v>
      </c>
      <c r="U116" s="269">
        <f t="shared" si="35"/>
        <v>0</v>
      </c>
      <c r="V116" s="269">
        <f t="shared" si="36"/>
        <v>0</v>
      </c>
      <c r="W116" s="262">
        <f t="shared" si="6"/>
        <v>0</v>
      </c>
      <c r="X116" s="55" t="s">
        <v>582</v>
      </c>
      <c r="Y116" s="55"/>
      <c r="Z116" s="31">
        <v>76</v>
      </c>
    </row>
    <row r="117" spans="1:26" ht="12.75" hidden="1" outlineLevel="2" x14ac:dyDescent="0.2">
      <c r="A117" s="251" t="s">
        <v>375</v>
      </c>
      <c r="B117" s="251" t="s">
        <v>376</v>
      </c>
      <c r="C117" s="251" t="s">
        <v>300</v>
      </c>
      <c r="D117" s="251" t="s">
        <v>305</v>
      </c>
      <c r="E117" s="252" t="s">
        <v>37</v>
      </c>
      <c r="F117" s="253" t="s">
        <v>290</v>
      </c>
      <c r="G117" s="267">
        <v>2</v>
      </c>
      <c r="H117" s="267">
        <v>3</v>
      </c>
      <c r="I117" s="259">
        <v>0</v>
      </c>
      <c r="J117" s="259">
        <v>0</v>
      </c>
      <c r="K117" s="259">
        <v>0</v>
      </c>
      <c r="L117" s="259">
        <v>0</v>
      </c>
      <c r="M117" s="260">
        <f t="shared" si="45"/>
        <v>0</v>
      </c>
      <c r="N117" s="255">
        <v>2790</v>
      </c>
      <c r="O117" s="255">
        <v>2790</v>
      </c>
      <c r="P117" s="255">
        <v>2790</v>
      </c>
      <c r="Q117" s="255">
        <v>2790</v>
      </c>
      <c r="R117" s="262">
        <f t="shared" si="32"/>
        <v>0</v>
      </c>
      <c r="S117" s="269">
        <f t="shared" si="33"/>
        <v>0</v>
      </c>
      <c r="T117" s="269">
        <f t="shared" si="34"/>
        <v>0</v>
      </c>
      <c r="U117" s="269">
        <f t="shared" si="35"/>
        <v>0</v>
      </c>
      <c r="V117" s="269">
        <f t="shared" si="36"/>
        <v>0</v>
      </c>
      <c r="W117" s="262">
        <f t="shared" si="6"/>
        <v>0</v>
      </c>
      <c r="X117" s="55" t="s">
        <v>582</v>
      </c>
      <c r="Y117" s="55"/>
      <c r="Z117" s="31">
        <v>76</v>
      </c>
    </row>
    <row r="118" spans="1:26" ht="12.75" hidden="1" outlineLevel="2" x14ac:dyDescent="0.2">
      <c r="A118" s="251" t="s">
        <v>375</v>
      </c>
      <c r="B118" s="251" t="s">
        <v>376</v>
      </c>
      <c r="C118" s="251" t="s">
        <v>619</v>
      </c>
      <c r="D118" s="251" t="s">
        <v>620</v>
      </c>
      <c r="E118" s="252" t="s">
        <v>16</v>
      </c>
      <c r="F118" s="253" t="s">
        <v>108</v>
      </c>
      <c r="G118" s="267">
        <v>2</v>
      </c>
      <c r="H118" s="267">
        <v>3</v>
      </c>
      <c r="I118" s="259"/>
      <c r="J118" s="259"/>
      <c r="K118" s="259">
        <v>0</v>
      </c>
      <c r="L118" s="259">
        <v>0</v>
      </c>
      <c r="M118" s="260">
        <f t="shared" ref="M118:M123" si="46">SUM(I118:L118)</f>
        <v>0</v>
      </c>
      <c r="N118" s="255"/>
      <c r="O118" s="255"/>
      <c r="P118" s="255">
        <v>2823</v>
      </c>
      <c r="Q118" s="255">
        <v>2823</v>
      </c>
      <c r="R118" s="262">
        <f t="shared" ref="R118:R123" si="47">SUMPRODUCT(I118:L118,N118:Q118)</f>
        <v>0</v>
      </c>
      <c r="S118" s="269">
        <f t="shared" ref="S118:S123" si="48">IF(N118&gt;prisgrense,I118*prisgrense,I118*N118)</f>
        <v>0</v>
      </c>
      <c r="T118" s="269">
        <f t="shared" ref="T118:T123" si="49">IF(O118&gt;prisgrense,J118*prisgrense,J118*O118)</f>
        <v>0</v>
      </c>
      <c r="U118" s="269">
        <f t="shared" ref="U118:U123" si="50">IF(P118&gt;prisgrense,K118*prisgrense,K118*P118)</f>
        <v>0</v>
      </c>
      <c r="V118" s="269">
        <f t="shared" ref="V118:V123" si="51">IF(Q118&gt;prisgrense,L118*prisgrense,L118*Q118)</f>
        <v>0</v>
      </c>
      <c r="W118" s="262">
        <f t="shared" ref="W118:W123" si="52">SUM(S118:V118)</f>
        <v>0</v>
      </c>
      <c r="X118" s="55" t="s">
        <v>583</v>
      </c>
      <c r="Y118" s="55"/>
    </row>
    <row r="119" spans="1:26" ht="12.75" hidden="1" outlineLevel="2" x14ac:dyDescent="0.2">
      <c r="A119" s="251" t="s">
        <v>375</v>
      </c>
      <c r="B119" s="251" t="s">
        <v>376</v>
      </c>
      <c r="C119" s="251" t="s">
        <v>619</v>
      </c>
      <c r="D119" s="251" t="s">
        <v>621</v>
      </c>
      <c r="E119" s="252" t="s">
        <v>16</v>
      </c>
      <c r="F119" s="253" t="s">
        <v>108</v>
      </c>
      <c r="G119" s="267">
        <v>2</v>
      </c>
      <c r="H119" s="267">
        <v>3</v>
      </c>
      <c r="I119" s="259"/>
      <c r="J119" s="259"/>
      <c r="K119" s="259">
        <v>0</v>
      </c>
      <c r="L119" s="259">
        <v>0</v>
      </c>
      <c r="M119" s="260">
        <f t="shared" si="46"/>
        <v>0</v>
      </c>
      <c r="N119" s="255"/>
      <c r="O119" s="255"/>
      <c r="P119" s="255">
        <v>2823</v>
      </c>
      <c r="Q119" s="255">
        <v>2823</v>
      </c>
      <c r="R119" s="262">
        <f t="shared" si="47"/>
        <v>0</v>
      </c>
      <c r="S119" s="269">
        <f t="shared" si="48"/>
        <v>0</v>
      </c>
      <c r="T119" s="269">
        <f t="shared" si="49"/>
        <v>0</v>
      </c>
      <c r="U119" s="269">
        <f t="shared" si="50"/>
        <v>0</v>
      </c>
      <c r="V119" s="269">
        <f t="shared" si="51"/>
        <v>0</v>
      </c>
      <c r="W119" s="262">
        <f t="shared" si="52"/>
        <v>0</v>
      </c>
      <c r="X119" s="55" t="s">
        <v>583</v>
      </c>
      <c r="Y119" s="55"/>
    </row>
    <row r="120" spans="1:26" ht="12.75" hidden="1" outlineLevel="2" x14ac:dyDescent="0.2">
      <c r="A120" s="251" t="s">
        <v>375</v>
      </c>
      <c r="B120" s="251" t="s">
        <v>376</v>
      </c>
      <c r="C120" s="251" t="s">
        <v>619</v>
      </c>
      <c r="D120" s="251" t="s">
        <v>622</v>
      </c>
      <c r="E120" s="252" t="s">
        <v>16</v>
      </c>
      <c r="F120" s="253" t="s">
        <v>108</v>
      </c>
      <c r="G120" s="267">
        <v>2</v>
      </c>
      <c r="H120" s="267">
        <v>3</v>
      </c>
      <c r="I120" s="259"/>
      <c r="J120" s="259"/>
      <c r="K120" s="259">
        <v>0</v>
      </c>
      <c r="L120" s="259">
        <v>0</v>
      </c>
      <c r="M120" s="260">
        <f t="shared" si="46"/>
        <v>0</v>
      </c>
      <c r="N120" s="255"/>
      <c r="O120" s="255"/>
      <c r="P120" s="255">
        <v>2823</v>
      </c>
      <c r="Q120" s="255">
        <v>2823</v>
      </c>
      <c r="R120" s="262">
        <f t="shared" si="47"/>
        <v>0</v>
      </c>
      <c r="S120" s="269">
        <f t="shared" si="48"/>
        <v>0</v>
      </c>
      <c r="T120" s="269">
        <f t="shared" si="49"/>
        <v>0</v>
      </c>
      <c r="U120" s="269">
        <f t="shared" si="50"/>
        <v>0</v>
      </c>
      <c r="V120" s="269">
        <f t="shared" si="51"/>
        <v>0</v>
      </c>
      <c r="W120" s="262">
        <f t="shared" si="52"/>
        <v>0</v>
      </c>
      <c r="X120" s="55" t="s">
        <v>583</v>
      </c>
      <c r="Y120" s="55"/>
    </row>
    <row r="121" spans="1:26" ht="12.75" hidden="1" outlineLevel="2" x14ac:dyDescent="0.2">
      <c r="A121" s="251" t="s">
        <v>375</v>
      </c>
      <c r="B121" s="251" t="s">
        <v>376</v>
      </c>
      <c r="C121" s="251" t="s">
        <v>619</v>
      </c>
      <c r="D121" s="251" t="s">
        <v>623</v>
      </c>
      <c r="E121" s="252" t="s">
        <v>17</v>
      </c>
      <c r="F121" s="253" t="s">
        <v>290</v>
      </c>
      <c r="G121" s="267">
        <v>2</v>
      </c>
      <c r="H121" s="267">
        <v>3</v>
      </c>
      <c r="I121" s="259"/>
      <c r="J121" s="259"/>
      <c r="K121" s="259">
        <v>0</v>
      </c>
      <c r="L121" s="259">
        <v>0</v>
      </c>
      <c r="M121" s="260">
        <f t="shared" si="46"/>
        <v>0</v>
      </c>
      <c r="N121" s="255"/>
      <c r="O121" s="255"/>
      <c r="P121" s="255">
        <v>2823</v>
      </c>
      <c r="Q121" s="255">
        <v>2823</v>
      </c>
      <c r="R121" s="262">
        <f t="shared" si="47"/>
        <v>0</v>
      </c>
      <c r="S121" s="269">
        <f t="shared" si="48"/>
        <v>0</v>
      </c>
      <c r="T121" s="269">
        <f t="shared" si="49"/>
        <v>0</v>
      </c>
      <c r="U121" s="269">
        <f t="shared" si="50"/>
        <v>0</v>
      </c>
      <c r="V121" s="269">
        <f t="shared" si="51"/>
        <v>0</v>
      </c>
      <c r="W121" s="262">
        <f t="shared" si="52"/>
        <v>0</v>
      </c>
      <c r="X121" s="55" t="s">
        <v>583</v>
      </c>
      <c r="Y121" s="55"/>
    </row>
    <row r="122" spans="1:26" ht="12.75" hidden="1" outlineLevel="2" x14ac:dyDescent="0.2">
      <c r="A122" s="251" t="s">
        <v>375</v>
      </c>
      <c r="B122" s="251" t="s">
        <v>376</v>
      </c>
      <c r="C122" s="251" t="s">
        <v>619</v>
      </c>
      <c r="D122" s="251" t="s">
        <v>624</v>
      </c>
      <c r="E122" s="252" t="s">
        <v>17</v>
      </c>
      <c r="F122" s="253" t="s">
        <v>290</v>
      </c>
      <c r="G122" s="267">
        <v>2</v>
      </c>
      <c r="H122" s="267">
        <v>3</v>
      </c>
      <c r="I122" s="259"/>
      <c r="J122" s="259"/>
      <c r="K122" s="259">
        <v>0</v>
      </c>
      <c r="L122" s="259">
        <v>0</v>
      </c>
      <c r="M122" s="260">
        <f t="shared" si="46"/>
        <v>0</v>
      </c>
      <c r="N122" s="255"/>
      <c r="O122" s="255"/>
      <c r="P122" s="255">
        <v>2823</v>
      </c>
      <c r="Q122" s="255">
        <v>2823</v>
      </c>
      <c r="R122" s="262">
        <f t="shared" si="47"/>
        <v>0</v>
      </c>
      <c r="S122" s="269">
        <f t="shared" si="48"/>
        <v>0</v>
      </c>
      <c r="T122" s="269">
        <f t="shared" si="49"/>
        <v>0</v>
      </c>
      <c r="U122" s="269">
        <f t="shared" si="50"/>
        <v>0</v>
      </c>
      <c r="V122" s="269">
        <f t="shared" si="51"/>
        <v>0</v>
      </c>
      <c r="W122" s="262">
        <f t="shared" si="52"/>
        <v>0</v>
      </c>
      <c r="X122" s="55" t="s">
        <v>583</v>
      </c>
      <c r="Y122" s="55"/>
    </row>
    <row r="123" spans="1:26" ht="12.75" hidden="1" outlineLevel="2" x14ac:dyDescent="0.2">
      <c r="A123" s="251" t="s">
        <v>375</v>
      </c>
      <c r="B123" s="251" t="s">
        <v>376</v>
      </c>
      <c r="C123" s="251" t="s">
        <v>619</v>
      </c>
      <c r="D123" s="251" t="s">
        <v>625</v>
      </c>
      <c r="E123" s="252" t="s">
        <v>17</v>
      </c>
      <c r="F123" s="253" t="s">
        <v>290</v>
      </c>
      <c r="G123" s="267">
        <v>2</v>
      </c>
      <c r="H123" s="267">
        <v>3</v>
      </c>
      <c r="I123" s="259"/>
      <c r="J123" s="259"/>
      <c r="K123" s="259">
        <v>5</v>
      </c>
      <c r="L123" s="259">
        <v>17</v>
      </c>
      <c r="M123" s="260">
        <f t="shared" si="46"/>
        <v>22</v>
      </c>
      <c r="N123" s="255"/>
      <c r="O123" s="255"/>
      <c r="P123" s="255">
        <v>2823</v>
      </c>
      <c r="Q123" s="255">
        <v>2823</v>
      </c>
      <c r="R123" s="262">
        <f t="shared" si="47"/>
        <v>62106</v>
      </c>
      <c r="S123" s="269">
        <f t="shared" si="48"/>
        <v>0</v>
      </c>
      <c r="T123" s="269">
        <f t="shared" si="49"/>
        <v>0</v>
      </c>
      <c r="U123" s="269">
        <f t="shared" si="50"/>
        <v>14115</v>
      </c>
      <c r="V123" s="269">
        <f t="shared" si="51"/>
        <v>47991</v>
      </c>
      <c r="W123" s="262">
        <f t="shared" si="52"/>
        <v>62106</v>
      </c>
      <c r="X123" s="55" t="s">
        <v>583</v>
      </c>
      <c r="Y123" s="55"/>
    </row>
    <row r="124" spans="1:26" ht="12.75" hidden="1" outlineLevel="2" x14ac:dyDescent="0.2">
      <c r="A124" s="251" t="s">
        <v>1</v>
      </c>
      <c r="B124" s="251" t="s">
        <v>379</v>
      </c>
      <c r="C124" s="251" t="s">
        <v>306</v>
      </c>
      <c r="D124" s="251" t="s">
        <v>264</v>
      </c>
      <c r="E124" s="252" t="s">
        <v>16</v>
      </c>
      <c r="F124" s="253" t="s">
        <v>108</v>
      </c>
      <c r="G124" s="267">
        <v>2</v>
      </c>
      <c r="H124" s="267">
        <v>4</v>
      </c>
      <c r="I124" s="259"/>
      <c r="J124" s="259"/>
      <c r="K124" s="259">
        <v>3</v>
      </c>
      <c r="L124" s="259"/>
      <c r="M124" s="260">
        <f t="shared" si="45"/>
        <v>3</v>
      </c>
      <c r="N124" s="255">
        <v>3100</v>
      </c>
      <c r="O124" s="255">
        <v>3100</v>
      </c>
      <c r="P124" s="255">
        <v>3100</v>
      </c>
      <c r="Q124" s="255">
        <v>3100</v>
      </c>
      <c r="R124" s="262">
        <f t="shared" si="32"/>
        <v>9300</v>
      </c>
      <c r="S124" s="269">
        <f t="shared" si="33"/>
        <v>0</v>
      </c>
      <c r="T124" s="269">
        <f t="shared" si="34"/>
        <v>0</v>
      </c>
      <c r="U124" s="269">
        <f t="shared" si="35"/>
        <v>9300</v>
      </c>
      <c r="V124" s="269">
        <f t="shared" si="36"/>
        <v>0</v>
      </c>
      <c r="W124" s="262">
        <f t="shared" si="6"/>
        <v>9300</v>
      </c>
      <c r="X124" s="55"/>
      <c r="Y124" s="55"/>
      <c r="Z124" s="31">
        <v>76</v>
      </c>
    </row>
    <row r="125" spans="1:26" ht="12.75" hidden="1" outlineLevel="2" x14ac:dyDescent="0.2">
      <c r="A125" s="251" t="s">
        <v>1</v>
      </c>
      <c r="B125" s="251" t="s">
        <v>379</v>
      </c>
      <c r="C125" s="251"/>
      <c r="D125" s="251" t="s">
        <v>265</v>
      </c>
      <c r="E125" s="252" t="s">
        <v>16</v>
      </c>
      <c r="F125" s="253" t="s">
        <v>106</v>
      </c>
      <c r="G125" s="267">
        <v>2</v>
      </c>
      <c r="H125" s="267">
        <v>4</v>
      </c>
      <c r="I125" s="259"/>
      <c r="J125" s="259"/>
      <c r="K125" s="259"/>
      <c r="L125" s="259"/>
      <c r="M125" s="260">
        <f t="shared" si="45"/>
        <v>0</v>
      </c>
      <c r="N125" s="255">
        <v>3100</v>
      </c>
      <c r="O125" s="255">
        <v>3100</v>
      </c>
      <c r="P125" s="255">
        <v>3100</v>
      </c>
      <c r="Q125" s="255">
        <v>3100</v>
      </c>
      <c r="R125" s="262">
        <f t="shared" si="32"/>
        <v>0</v>
      </c>
      <c r="S125" s="269">
        <f t="shared" si="33"/>
        <v>0</v>
      </c>
      <c r="T125" s="269">
        <f t="shared" si="34"/>
        <v>0</v>
      </c>
      <c r="U125" s="269">
        <f t="shared" si="35"/>
        <v>0</v>
      </c>
      <c r="V125" s="269">
        <f t="shared" si="36"/>
        <v>0</v>
      </c>
      <c r="W125" s="262">
        <f t="shared" si="6"/>
        <v>0</v>
      </c>
      <c r="X125" s="55"/>
      <c r="Y125" s="55"/>
      <c r="Z125" s="31">
        <v>76</v>
      </c>
    </row>
    <row r="126" spans="1:26" ht="12.75" hidden="1" outlineLevel="2" x14ac:dyDescent="0.2">
      <c r="A126" s="251" t="s">
        <v>1</v>
      </c>
      <c r="B126" s="251" t="s">
        <v>379</v>
      </c>
      <c r="C126" s="251"/>
      <c r="D126" s="251" t="s">
        <v>266</v>
      </c>
      <c r="E126" s="252" t="s">
        <v>17</v>
      </c>
      <c r="F126" s="253" t="s">
        <v>290</v>
      </c>
      <c r="G126" s="267">
        <v>2</v>
      </c>
      <c r="H126" s="267">
        <v>4</v>
      </c>
      <c r="I126" s="259"/>
      <c r="J126" s="259"/>
      <c r="K126" s="259"/>
      <c r="L126" s="259"/>
      <c r="M126" s="260">
        <f t="shared" si="45"/>
        <v>0</v>
      </c>
      <c r="N126" s="255">
        <v>3100</v>
      </c>
      <c r="O126" s="255">
        <v>3100</v>
      </c>
      <c r="P126" s="255">
        <v>3100</v>
      </c>
      <c r="Q126" s="255">
        <v>3100</v>
      </c>
      <c r="R126" s="262">
        <f t="shared" si="32"/>
        <v>0</v>
      </c>
      <c r="S126" s="269">
        <f t="shared" si="33"/>
        <v>0</v>
      </c>
      <c r="T126" s="269">
        <f t="shared" si="34"/>
        <v>0</v>
      </c>
      <c r="U126" s="269">
        <f t="shared" si="35"/>
        <v>0</v>
      </c>
      <c r="V126" s="269">
        <f t="shared" si="36"/>
        <v>0</v>
      </c>
      <c r="W126" s="262">
        <f t="shared" si="6"/>
        <v>0</v>
      </c>
      <c r="X126" s="55"/>
      <c r="Y126" s="55"/>
      <c r="Z126" s="31">
        <v>76</v>
      </c>
    </row>
    <row r="127" spans="1:26" ht="12.75" hidden="1" outlineLevel="2" x14ac:dyDescent="0.2">
      <c r="A127" s="251" t="s">
        <v>1</v>
      </c>
      <c r="B127" s="251" t="s">
        <v>379</v>
      </c>
      <c r="C127" s="251"/>
      <c r="D127" s="251" t="s">
        <v>267</v>
      </c>
      <c r="E127" s="252" t="s">
        <v>37</v>
      </c>
      <c r="F127" s="253" t="s">
        <v>290</v>
      </c>
      <c r="G127" s="267">
        <v>2</v>
      </c>
      <c r="H127" s="267">
        <v>4</v>
      </c>
      <c r="I127" s="259"/>
      <c r="J127" s="259"/>
      <c r="K127" s="259"/>
      <c r="L127" s="259"/>
      <c r="M127" s="260">
        <f t="shared" si="45"/>
        <v>0</v>
      </c>
      <c r="N127" s="255">
        <v>3100</v>
      </c>
      <c r="O127" s="255">
        <v>3100</v>
      </c>
      <c r="P127" s="255">
        <v>3100</v>
      </c>
      <c r="Q127" s="255">
        <v>3100</v>
      </c>
      <c r="R127" s="262">
        <f t="shared" si="32"/>
        <v>0</v>
      </c>
      <c r="S127" s="269">
        <f t="shared" si="33"/>
        <v>0</v>
      </c>
      <c r="T127" s="269">
        <f t="shared" si="34"/>
        <v>0</v>
      </c>
      <c r="U127" s="269">
        <f t="shared" si="35"/>
        <v>0</v>
      </c>
      <c r="V127" s="269">
        <f t="shared" si="36"/>
        <v>0</v>
      </c>
      <c r="W127" s="262">
        <f t="shared" si="6"/>
        <v>0</v>
      </c>
      <c r="X127" s="55"/>
      <c r="Y127" s="55"/>
      <c r="Z127" s="31">
        <v>76</v>
      </c>
    </row>
    <row r="128" spans="1:26" ht="12.75" hidden="1" outlineLevel="2" x14ac:dyDescent="0.2">
      <c r="A128" s="251" t="s">
        <v>380</v>
      </c>
      <c r="B128" s="251" t="s">
        <v>381</v>
      </c>
      <c r="C128" s="251" t="s">
        <v>220</v>
      </c>
      <c r="D128" s="251" t="s">
        <v>307</v>
      </c>
      <c r="E128" s="252" t="s">
        <v>16</v>
      </c>
      <c r="F128" s="253" t="s">
        <v>561</v>
      </c>
      <c r="G128" s="267">
        <v>2</v>
      </c>
      <c r="H128" s="267">
        <v>4</v>
      </c>
      <c r="I128" s="259">
        <v>0</v>
      </c>
      <c r="J128" s="259">
        <v>4</v>
      </c>
      <c r="K128" s="259">
        <v>3</v>
      </c>
      <c r="L128" s="259">
        <v>6</v>
      </c>
      <c r="M128" s="260">
        <f t="shared" si="45"/>
        <v>13</v>
      </c>
      <c r="N128" s="255">
        <v>1990</v>
      </c>
      <c r="O128" s="255">
        <v>1990</v>
      </c>
      <c r="P128" s="255">
        <v>1990</v>
      </c>
      <c r="Q128" s="255">
        <v>1990</v>
      </c>
      <c r="R128" s="262">
        <f t="shared" si="32"/>
        <v>25870</v>
      </c>
      <c r="S128" s="269">
        <f t="shared" si="33"/>
        <v>0</v>
      </c>
      <c r="T128" s="269">
        <f t="shared" si="34"/>
        <v>7960</v>
      </c>
      <c r="U128" s="269">
        <f t="shared" si="35"/>
        <v>5970</v>
      </c>
      <c r="V128" s="269">
        <f t="shared" si="36"/>
        <v>11940</v>
      </c>
      <c r="W128" s="262">
        <f t="shared" si="6"/>
        <v>25870</v>
      </c>
      <c r="X128" s="55"/>
      <c r="Y128" s="55"/>
      <c r="Z128" s="31">
        <v>76</v>
      </c>
    </row>
    <row r="129" spans="1:26" ht="12.75" hidden="1" outlineLevel="2" x14ac:dyDescent="0.2">
      <c r="A129" s="251" t="s">
        <v>380</v>
      </c>
      <c r="B129" s="251" t="s">
        <v>381</v>
      </c>
      <c r="C129" s="251" t="s">
        <v>220</v>
      </c>
      <c r="D129" s="251" t="s">
        <v>308</v>
      </c>
      <c r="E129" s="252" t="s">
        <v>16</v>
      </c>
      <c r="F129" s="253" t="s">
        <v>108</v>
      </c>
      <c r="G129" s="267">
        <v>2</v>
      </c>
      <c r="H129" s="267">
        <v>4</v>
      </c>
      <c r="I129" s="259">
        <v>1</v>
      </c>
      <c r="J129" s="259">
        <v>15</v>
      </c>
      <c r="K129" s="259">
        <v>5</v>
      </c>
      <c r="L129" s="259">
        <v>10</v>
      </c>
      <c r="M129" s="260">
        <f t="shared" si="45"/>
        <v>31</v>
      </c>
      <c r="N129" s="255">
        <v>1990</v>
      </c>
      <c r="O129" s="255">
        <v>1990</v>
      </c>
      <c r="P129" s="255">
        <v>1990</v>
      </c>
      <c r="Q129" s="255">
        <v>1990</v>
      </c>
      <c r="R129" s="262">
        <f t="shared" si="32"/>
        <v>61690</v>
      </c>
      <c r="S129" s="269">
        <f t="shared" si="33"/>
        <v>1990</v>
      </c>
      <c r="T129" s="269">
        <f t="shared" si="34"/>
        <v>29850</v>
      </c>
      <c r="U129" s="269">
        <f t="shared" si="35"/>
        <v>9950</v>
      </c>
      <c r="V129" s="269">
        <f t="shared" si="36"/>
        <v>19900</v>
      </c>
      <c r="W129" s="262">
        <f t="shared" si="6"/>
        <v>61690</v>
      </c>
      <c r="X129" s="55"/>
      <c r="Y129" s="55"/>
      <c r="Z129" s="31">
        <v>76</v>
      </c>
    </row>
    <row r="130" spans="1:26" ht="12.75" hidden="1" outlineLevel="2" x14ac:dyDescent="0.2">
      <c r="A130" s="251" t="s">
        <v>380</v>
      </c>
      <c r="B130" s="251" t="s">
        <v>381</v>
      </c>
      <c r="C130" s="251" t="s">
        <v>220</v>
      </c>
      <c r="D130" s="251" t="s">
        <v>309</v>
      </c>
      <c r="E130" s="252" t="s">
        <v>17</v>
      </c>
      <c r="F130" s="253" t="s">
        <v>290</v>
      </c>
      <c r="G130" s="267">
        <v>2</v>
      </c>
      <c r="H130" s="267">
        <v>4</v>
      </c>
      <c r="I130" s="259">
        <v>0</v>
      </c>
      <c r="J130" s="259">
        <v>1</v>
      </c>
      <c r="K130" s="259">
        <v>4</v>
      </c>
      <c r="L130" s="259">
        <v>1</v>
      </c>
      <c r="M130" s="260">
        <f t="shared" si="45"/>
        <v>6</v>
      </c>
      <c r="N130" s="255">
        <v>1990</v>
      </c>
      <c r="O130" s="255">
        <v>1990</v>
      </c>
      <c r="P130" s="255">
        <v>1990</v>
      </c>
      <c r="Q130" s="255">
        <v>1990</v>
      </c>
      <c r="R130" s="262">
        <f t="shared" si="32"/>
        <v>11940</v>
      </c>
      <c r="S130" s="269">
        <f t="shared" si="33"/>
        <v>0</v>
      </c>
      <c r="T130" s="269">
        <f t="shared" si="34"/>
        <v>1990</v>
      </c>
      <c r="U130" s="269">
        <f t="shared" si="35"/>
        <v>7960</v>
      </c>
      <c r="V130" s="269">
        <f t="shared" si="36"/>
        <v>1990</v>
      </c>
      <c r="W130" s="262">
        <f t="shared" si="6"/>
        <v>11940</v>
      </c>
      <c r="X130" s="55"/>
      <c r="Y130" s="55"/>
      <c r="Z130" s="31">
        <v>76</v>
      </c>
    </row>
    <row r="131" spans="1:26" ht="12.75" hidden="1" outlineLevel="2" x14ac:dyDescent="0.2">
      <c r="A131" s="251" t="s">
        <v>380</v>
      </c>
      <c r="B131" s="251" t="s">
        <v>381</v>
      </c>
      <c r="C131" s="251" t="s">
        <v>220</v>
      </c>
      <c r="D131" s="251" t="s">
        <v>310</v>
      </c>
      <c r="E131" s="252" t="s">
        <v>17</v>
      </c>
      <c r="F131" s="253" t="s">
        <v>290</v>
      </c>
      <c r="G131" s="267">
        <v>2</v>
      </c>
      <c r="H131" s="267">
        <v>4</v>
      </c>
      <c r="I131" s="259">
        <v>0</v>
      </c>
      <c r="J131" s="259">
        <v>2</v>
      </c>
      <c r="K131" s="259">
        <v>0</v>
      </c>
      <c r="L131" s="259">
        <v>0</v>
      </c>
      <c r="M131" s="260">
        <f t="shared" si="45"/>
        <v>2</v>
      </c>
      <c r="N131" s="255">
        <v>1990</v>
      </c>
      <c r="O131" s="255">
        <v>1990</v>
      </c>
      <c r="P131" s="255">
        <v>1990</v>
      </c>
      <c r="Q131" s="255">
        <v>1990</v>
      </c>
      <c r="R131" s="262">
        <f t="shared" si="32"/>
        <v>3980</v>
      </c>
      <c r="S131" s="269">
        <f t="shared" si="33"/>
        <v>0</v>
      </c>
      <c r="T131" s="269">
        <f t="shared" si="34"/>
        <v>3980</v>
      </c>
      <c r="U131" s="269">
        <f t="shared" si="35"/>
        <v>0</v>
      </c>
      <c r="V131" s="269">
        <f t="shared" si="36"/>
        <v>0</v>
      </c>
      <c r="W131" s="262">
        <f t="shared" si="6"/>
        <v>3980</v>
      </c>
      <c r="X131" s="55"/>
      <c r="Y131" s="55"/>
      <c r="Z131" s="31">
        <v>76</v>
      </c>
    </row>
    <row r="132" spans="1:26" ht="12.75" hidden="1" outlineLevel="2" x14ac:dyDescent="0.2">
      <c r="A132" s="251" t="s">
        <v>380</v>
      </c>
      <c r="B132" s="251" t="s">
        <v>381</v>
      </c>
      <c r="C132" s="251" t="s">
        <v>220</v>
      </c>
      <c r="D132" s="251" t="s">
        <v>311</v>
      </c>
      <c r="E132" s="252" t="s">
        <v>37</v>
      </c>
      <c r="F132" s="253" t="s">
        <v>290</v>
      </c>
      <c r="G132" s="267">
        <v>2</v>
      </c>
      <c r="H132" s="267">
        <v>4</v>
      </c>
      <c r="I132" s="259">
        <v>0</v>
      </c>
      <c r="J132" s="259">
        <v>2</v>
      </c>
      <c r="K132" s="259">
        <v>1</v>
      </c>
      <c r="L132" s="259">
        <v>0</v>
      </c>
      <c r="M132" s="260">
        <f t="shared" si="45"/>
        <v>3</v>
      </c>
      <c r="N132" s="255">
        <v>1990</v>
      </c>
      <c r="O132" s="255">
        <v>1990</v>
      </c>
      <c r="P132" s="255">
        <v>1990</v>
      </c>
      <c r="Q132" s="255">
        <v>1990</v>
      </c>
      <c r="R132" s="262">
        <f t="shared" si="32"/>
        <v>5970</v>
      </c>
      <c r="S132" s="269">
        <f t="shared" si="33"/>
        <v>0</v>
      </c>
      <c r="T132" s="269">
        <f t="shared" si="34"/>
        <v>3980</v>
      </c>
      <c r="U132" s="269">
        <f t="shared" si="35"/>
        <v>1990</v>
      </c>
      <c r="V132" s="269">
        <f t="shared" si="36"/>
        <v>0</v>
      </c>
      <c r="W132" s="262">
        <f t="shared" si="6"/>
        <v>5970</v>
      </c>
      <c r="X132" s="55"/>
      <c r="Y132" s="55"/>
      <c r="Z132" s="31">
        <v>76</v>
      </c>
    </row>
    <row r="133" spans="1:26" ht="12.75" hidden="1" outlineLevel="2" x14ac:dyDescent="0.2">
      <c r="A133" s="251" t="s">
        <v>380</v>
      </c>
      <c r="B133" s="251" t="s">
        <v>381</v>
      </c>
      <c r="C133" s="415" t="s">
        <v>598</v>
      </c>
      <c r="D133" s="415" t="s">
        <v>599</v>
      </c>
      <c r="E133" s="252" t="s">
        <v>16</v>
      </c>
      <c r="F133" s="253" t="s">
        <v>561</v>
      </c>
      <c r="G133" s="267">
        <v>2</v>
      </c>
      <c r="H133" s="267">
        <v>4</v>
      </c>
      <c r="I133" s="259"/>
      <c r="J133" s="259"/>
      <c r="K133" s="259">
        <v>0</v>
      </c>
      <c r="L133" s="259">
        <v>2</v>
      </c>
      <c r="M133" s="260">
        <f t="shared" si="45"/>
        <v>2</v>
      </c>
      <c r="N133" s="255"/>
      <c r="O133" s="255"/>
      <c r="P133" s="255">
        <v>1990</v>
      </c>
      <c r="Q133" s="255">
        <v>1990</v>
      </c>
      <c r="R133" s="262">
        <f t="shared" ref="R133:R137" si="53">SUMPRODUCT(I133:L133,N133:Q133)</f>
        <v>3980</v>
      </c>
      <c r="S133" s="269">
        <f t="shared" ref="S133:S137" si="54">IF(N133&gt;prisgrense,I133*prisgrense,I133*N133)</f>
        <v>0</v>
      </c>
      <c r="T133" s="269">
        <f t="shared" ref="T133:T137" si="55">IF(O133&gt;prisgrense,J133*prisgrense,J133*O133)</f>
        <v>0</v>
      </c>
      <c r="U133" s="269">
        <f t="shared" ref="U133:U137" si="56">IF(P133&gt;prisgrense,K133*prisgrense,K133*P133)</f>
        <v>0</v>
      </c>
      <c r="V133" s="269">
        <f t="shared" ref="V133:V137" si="57">IF(Q133&gt;prisgrense,L133*prisgrense,L133*Q133)</f>
        <v>3980</v>
      </c>
      <c r="W133" s="262">
        <f t="shared" ref="W133:W137" si="58">SUM(S133:V133)</f>
        <v>3980</v>
      </c>
      <c r="X133" s="55" t="s">
        <v>583</v>
      </c>
      <c r="Y133" s="55"/>
    </row>
    <row r="134" spans="1:26" ht="12.75" hidden="1" outlineLevel="2" x14ac:dyDescent="0.2">
      <c r="A134" s="251" t="s">
        <v>380</v>
      </c>
      <c r="B134" s="251" t="s">
        <v>381</v>
      </c>
      <c r="C134" s="415" t="s">
        <v>598</v>
      </c>
      <c r="D134" s="415" t="s">
        <v>600</v>
      </c>
      <c r="E134" s="252" t="s">
        <v>16</v>
      </c>
      <c r="F134" s="253" t="s">
        <v>108</v>
      </c>
      <c r="G134" s="267">
        <v>2</v>
      </c>
      <c r="H134" s="267">
        <v>4</v>
      </c>
      <c r="I134" s="259"/>
      <c r="J134" s="259"/>
      <c r="K134" s="259">
        <v>1</v>
      </c>
      <c r="L134" s="259">
        <v>15</v>
      </c>
      <c r="M134" s="260">
        <f t="shared" si="45"/>
        <v>16</v>
      </c>
      <c r="N134" s="255"/>
      <c r="O134" s="255"/>
      <c r="P134" s="255">
        <v>1990</v>
      </c>
      <c r="Q134" s="255">
        <v>1990</v>
      </c>
      <c r="R134" s="262">
        <f t="shared" si="53"/>
        <v>31840</v>
      </c>
      <c r="S134" s="269">
        <f t="shared" si="54"/>
        <v>0</v>
      </c>
      <c r="T134" s="269">
        <f t="shared" si="55"/>
        <v>0</v>
      </c>
      <c r="U134" s="269">
        <f t="shared" si="56"/>
        <v>1990</v>
      </c>
      <c r="V134" s="269">
        <f t="shared" si="57"/>
        <v>29850</v>
      </c>
      <c r="W134" s="262">
        <f t="shared" si="58"/>
        <v>31840</v>
      </c>
      <c r="X134" s="55" t="s">
        <v>583</v>
      </c>
      <c r="Y134" s="55"/>
    </row>
    <row r="135" spans="1:26" ht="12.75" hidden="1" outlineLevel="2" x14ac:dyDescent="0.2">
      <c r="A135" s="251" t="s">
        <v>380</v>
      </c>
      <c r="B135" s="251" t="s">
        <v>381</v>
      </c>
      <c r="C135" s="415" t="s">
        <v>598</v>
      </c>
      <c r="D135" s="415" t="s">
        <v>601</v>
      </c>
      <c r="E135" s="252" t="s">
        <v>17</v>
      </c>
      <c r="F135" s="253" t="s">
        <v>290</v>
      </c>
      <c r="G135" s="267">
        <v>2</v>
      </c>
      <c r="H135" s="267">
        <v>4</v>
      </c>
      <c r="I135" s="259"/>
      <c r="J135" s="259"/>
      <c r="K135" s="259">
        <v>0</v>
      </c>
      <c r="L135" s="259">
        <v>2</v>
      </c>
      <c r="M135" s="260">
        <f t="shared" si="45"/>
        <v>2</v>
      </c>
      <c r="N135" s="255"/>
      <c r="O135" s="255"/>
      <c r="P135" s="255">
        <v>1990</v>
      </c>
      <c r="Q135" s="255">
        <v>1990</v>
      </c>
      <c r="R135" s="262">
        <f t="shared" si="53"/>
        <v>3980</v>
      </c>
      <c r="S135" s="269">
        <f t="shared" si="54"/>
        <v>0</v>
      </c>
      <c r="T135" s="269">
        <f t="shared" si="55"/>
        <v>0</v>
      </c>
      <c r="U135" s="269">
        <f t="shared" si="56"/>
        <v>0</v>
      </c>
      <c r="V135" s="269">
        <f t="shared" si="57"/>
        <v>3980</v>
      </c>
      <c r="W135" s="262">
        <f t="shared" si="58"/>
        <v>3980</v>
      </c>
      <c r="X135" s="55" t="s">
        <v>583</v>
      </c>
      <c r="Y135" s="55"/>
    </row>
    <row r="136" spans="1:26" ht="12.75" hidden="1" outlineLevel="2" x14ac:dyDescent="0.2">
      <c r="A136" s="251" t="s">
        <v>380</v>
      </c>
      <c r="B136" s="251" t="s">
        <v>381</v>
      </c>
      <c r="C136" s="415" t="s">
        <v>598</v>
      </c>
      <c r="D136" s="415" t="s">
        <v>602</v>
      </c>
      <c r="E136" s="252" t="s">
        <v>17</v>
      </c>
      <c r="F136" s="253" t="s">
        <v>290</v>
      </c>
      <c r="G136" s="267">
        <v>2</v>
      </c>
      <c r="H136" s="267">
        <v>4</v>
      </c>
      <c r="I136" s="259"/>
      <c r="J136" s="259"/>
      <c r="K136" s="259">
        <v>0</v>
      </c>
      <c r="L136" s="259">
        <v>0</v>
      </c>
      <c r="M136" s="260">
        <f t="shared" si="45"/>
        <v>0</v>
      </c>
      <c r="N136" s="255"/>
      <c r="O136" s="255"/>
      <c r="P136" s="255">
        <v>1990</v>
      </c>
      <c r="Q136" s="255">
        <v>1990</v>
      </c>
      <c r="R136" s="262">
        <f t="shared" si="53"/>
        <v>0</v>
      </c>
      <c r="S136" s="269">
        <f t="shared" si="54"/>
        <v>0</v>
      </c>
      <c r="T136" s="269">
        <f t="shared" si="55"/>
        <v>0</v>
      </c>
      <c r="U136" s="269">
        <f t="shared" si="56"/>
        <v>0</v>
      </c>
      <c r="V136" s="269">
        <f t="shared" si="57"/>
        <v>0</v>
      </c>
      <c r="W136" s="262">
        <f t="shared" si="58"/>
        <v>0</v>
      </c>
      <c r="X136" s="55" t="s">
        <v>583</v>
      </c>
      <c r="Y136" s="55"/>
    </row>
    <row r="137" spans="1:26" ht="12.75" hidden="1" outlineLevel="2" x14ac:dyDescent="0.2">
      <c r="A137" s="251" t="s">
        <v>380</v>
      </c>
      <c r="B137" s="251" t="s">
        <v>381</v>
      </c>
      <c r="C137" s="415" t="s">
        <v>598</v>
      </c>
      <c r="D137" s="415" t="s">
        <v>603</v>
      </c>
      <c r="E137" s="252" t="s">
        <v>16</v>
      </c>
      <c r="F137" s="253" t="s">
        <v>106</v>
      </c>
      <c r="G137" s="267">
        <v>2</v>
      </c>
      <c r="H137" s="267">
        <v>4</v>
      </c>
      <c r="I137" s="259"/>
      <c r="J137" s="259"/>
      <c r="K137" s="259">
        <v>1</v>
      </c>
      <c r="L137" s="259">
        <v>11</v>
      </c>
      <c r="M137" s="260">
        <f t="shared" si="45"/>
        <v>12</v>
      </c>
      <c r="N137" s="255"/>
      <c r="O137" s="255"/>
      <c r="P137" s="255">
        <v>1990</v>
      </c>
      <c r="Q137" s="255">
        <v>1990</v>
      </c>
      <c r="R137" s="262">
        <f t="shared" si="53"/>
        <v>23880</v>
      </c>
      <c r="S137" s="269">
        <f t="shared" si="54"/>
        <v>0</v>
      </c>
      <c r="T137" s="269">
        <f t="shared" si="55"/>
        <v>0</v>
      </c>
      <c r="U137" s="269">
        <f t="shared" si="56"/>
        <v>1990</v>
      </c>
      <c r="V137" s="269">
        <f t="shared" si="57"/>
        <v>21890</v>
      </c>
      <c r="W137" s="262">
        <f t="shared" si="58"/>
        <v>23880</v>
      </c>
      <c r="X137" s="55" t="s">
        <v>583</v>
      </c>
      <c r="Y137" s="55"/>
    </row>
    <row r="138" spans="1:26" ht="12.75" hidden="1" outlineLevel="2" x14ac:dyDescent="0.2">
      <c r="A138" s="251" t="s">
        <v>382</v>
      </c>
      <c r="B138" s="251" t="s">
        <v>383</v>
      </c>
      <c r="C138" s="251" t="s">
        <v>201</v>
      </c>
      <c r="D138" s="251" t="s">
        <v>312</v>
      </c>
      <c r="E138" s="252" t="s">
        <v>291</v>
      </c>
      <c r="F138" s="253" t="s">
        <v>108</v>
      </c>
      <c r="G138" s="267">
        <v>2</v>
      </c>
      <c r="H138" s="267">
        <v>5</v>
      </c>
      <c r="I138" s="259">
        <v>8</v>
      </c>
      <c r="J138" s="259">
        <v>17</v>
      </c>
      <c r="K138" s="259">
        <v>20</v>
      </c>
      <c r="L138" s="259">
        <v>8</v>
      </c>
      <c r="M138" s="260">
        <f t="shared" si="45"/>
        <v>53</v>
      </c>
      <c r="N138" s="255">
        <v>3660</v>
      </c>
      <c r="O138" s="255">
        <v>3660</v>
      </c>
      <c r="P138" s="255">
        <v>3660</v>
      </c>
      <c r="Q138" s="255">
        <v>3660</v>
      </c>
      <c r="R138" s="262">
        <f t="shared" si="32"/>
        <v>193980</v>
      </c>
      <c r="S138" s="269">
        <f t="shared" si="33"/>
        <v>29280</v>
      </c>
      <c r="T138" s="269">
        <f t="shared" si="34"/>
        <v>62220</v>
      </c>
      <c r="U138" s="269">
        <f t="shared" si="35"/>
        <v>73200</v>
      </c>
      <c r="V138" s="269">
        <f t="shared" si="36"/>
        <v>29280</v>
      </c>
      <c r="W138" s="262">
        <f t="shared" si="6"/>
        <v>193980</v>
      </c>
      <c r="X138" s="55" t="s">
        <v>582</v>
      </c>
      <c r="Y138" s="55"/>
      <c r="Z138" s="31">
        <v>76</v>
      </c>
    </row>
    <row r="139" spans="1:26" ht="12.75" hidden="1" outlineLevel="2" x14ac:dyDescent="0.2">
      <c r="A139" s="251" t="s">
        <v>382</v>
      </c>
      <c r="B139" s="251" t="s">
        <v>383</v>
      </c>
      <c r="C139" s="251" t="s">
        <v>201</v>
      </c>
      <c r="D139" s="251" t="s">
        <v>313</v>
      </c>
      <c r="E139" s="252" t="s">
        <v>16</v>
      </c>
      <c r="F139" s="253" t="s">
        <v>108</v>
      </c>
      <c r="G139" s="267">
        <v>2</v>
      </c>
      <c r="H139" s="267">
        <v>5</v>
      </c>
      <c r="I139" s="259">
        <v>177</v>
      </c>
      <c r="J139" s="259">
        <v>136</v>
      </c>
      <c r="K139" s="259">
        <v>90</v>
      </c>
      <c r="L139" s="259">
        <v>42</v>
      </c>
      <c r="M139" s="260">
        <f t="shared" si="45"/>
        <v>445</v>
      </c>
      <c r="N139" s="255">
        <v>3660</v>
      </c>
      <c r="O139" s="255">
        <v>3660</v>
      </c>
      <c r="P139" s="255">
        <v>3660</v>
      </c>
      <c r="Q139" s="255">
        <v>3660</v>
      </c>
      <c r="R139" s="262">
        <f t="shared" si="32"/>
        <v>1628700</v>
      </c>
      <c r="S139" s="269">
        <f t="shared" si="33"/>
        <v>647820</v>
      </c>
      <c r="T139" s="269">
        <f t="shared" si="34"/>
        <v>497760</v>
      </c>
      <c r="U139" s="269">
        <f t="shared" si="35"/>
        <v>329400</v>
      </c>
      <c r="V139" s="269">
        <f t="shared" si="36"/>
        <v>153720</v>
      </c>
      <c r="W139" s="262">
        <f t="shared" si="6"/>
        <v>1628700</v>
      </c>
      <c r="X139" s="55" t="s">
        <v>582</v>
      </c>
      <c r="Y139" s="55"/>
      <c r="Z139" s="31">
        <v>76</v>
      </c>
    </row>
    <row r="140" spans="1:26" ht="12.75" hidden="1" outlineLevel="2" x14ac:dyDescent="0.2">
      <c r="A140" s="251" t="s">
        <v>382</v>
      </c>
      <c r="B140" s="251" t="s">
        <v>383</v>
      </c>
      <c r="C140" s="251" t="s">
        <v>201</v>
      </c>
      <c r="D140" s="251" t="s">
        <v>314</v>
      </c>
      <c r="E140" s="252" t="s">
        <v>16</v>
      </c>
      <c r="F140" s="253" t="s">
        <v>108</v>
      </c>
      <c r="G140" s="267">
        <v>2</v>
      </c>
      <c r="H140" s="267">
        <v>5</v>
      </c>
      <c r="I140" s="259">
        <v>48</v>
      </c>
      <c r="J140" s="259">
        <v>58</v>
      </c>
      <c r="K140" s="259">
        <v>45</v>
      </c>
      <c r="L140" s="259">
        <v>33</v>
      </c>
      <c r="M140" s="260">
        <f t="shared" si="45"/>
        <v>184</v>
      </c>
      <c r="N140" s="255">
        <v>3660</v>
      </c>
      <c r="O140" s="255">
        <v>3660</v>
      </c>
      <c r="P140" s="255">
        <v>3660</v>
      </c>
      <c r="Q140" s="255">
        <v>3660</v>
      </c>
      <c r="R140" s="262">
        <f t="shared" si="32"/>
        <v>673440</v>
      </c>
      <c r="S140" s="269">
        <f t="shared" si="33"/>
        <v>175680</v>
      </c>
      <c r="T140" s="269">
        <f t="shared" si="34"/>
        <v>212280</v>
      </c>
      <c r="U140" s="269">
        <f t="shared" si="35"/>
        <v>164700</v>
      </c>
      <c r="V140" s="269">
        <f t="shared" si="36"/>
        <v>120780</v>
      </c>
      <c r="W140" s="262">
        <f t="shared" si="6"/>
        <v>673440</v>
      </c>
      <c r="X140" s="55" t="s">
        <v>582</v>
      </c>
      <c r="Y140" s="55"/>
      <c r="Z140" s="31">
        <v>76</v>
      </c>
    </row>
    <row r="141" spans="1:26" ht="12.75" hidden="1" outlineLevel="2" x14ac:dyDescent="0.2">
      <c r="A141" s="251" t="s">
        <v>382</v>
      </c>
      <c r="B141" s="251" t="s">
        <v>383</v>
      </c>
      <c r="C141" s="251" t="s">
        <v>201</v>
      </c>
      <c r="D141" s="251" t="s">
        <v>315</v>
      </c>
      <c r="E141" s="252" t="s">
        <v>16</v>
      </c>
      <c r="F141" s="253" t="s">
        <v>106</v>
      </c>
      <c r="G141" s="267">
        <v>2</v>
      </c>
      <c r="H141" s="267">
        <v>5</v>
      </c>
      <c r="I141" s="259">
        <v>705</v>
      </c>
      <c r="J141" s="259">
        <v>656</v>
      </c>
      <c r="K141" s="259">
        <v>531</v>
      </c>
      <c r="L141" s="259">
        <v>39</v>
      </c>
      <c r="M141" s="260">
        <f t="shared" si="45"/>
        <v>1931</v>
      </c>
      <c r="N141" s="255">
        <v>3660</v>
      </c>
      <c r="O141" s="255">
        <v>3660</v>
      </c>
      <c r="P141" s="255">
        <v>3660</v>
      </c>
      <c r="Q141" s="255">
        <v>3660</v>
      </c>
      <c r="R141" s="262">
        <f t="shared" si="32"/>
        <v>7067460</v>
      </c>
      <c r="S141" s="269">
        <f t="shared" si="33"/>
        <v>2580300</v>
      </c>
      <c r="T141" s="269">
        <f t="shared" si="34"/>
        <v>2400960</v>
      </c>
      <c r="U141" s="269">
        <f t="shared" si="35"/>
        <v>1943460</v>
      </c>
      <c r="V141" s="269">
        <f t="shared" si="36"/>
        <v>142740</v>
      </c>
      <c r="W141" s="262">
        <f t="shared" si="6"/>
        <v>7067460</v>
      </c>
      <c r="X141" s="55" t="s">
        <v>582</v>
      </c>
      <c r="Y141" s="55"/>
      <c r="Z141" s="31">
        <v>76</v>
      </c>
    </row>
    <row r="142" spans="1:26" ht="12.75" hidden="1" outlineLevel="2" x14ac:dyDescent="0.2">
      <c r="A142" s="251" t="s">
        <v>382</v>
      </c>
      <c r="B142" s="251" t="s">
        <v>383</v>
      </c>
      <c r="C142" s="251" t="s">
        <v>201</v>
      </c>
      <c r="D142" s="251" t="s">
        <v>316</v>
      </c>
      <c r="E142" s="252" t="s">
        <v>17</v>
      </c>
      <c r="F142" s="253" t="s">
        <v>290</v>
      </c>
      <c r="G142" s="267">
        <v>2</v>
      </c>
      <c r="H142" s="267">
        <v>5</v>
      </c>
      <c r="I142" s="259">
        <v>56</v>
      </c>
      <c r="J142" s="259">
        <v>105</v>
      </c>
      <c r="K142" s="259">
        <v>72</v>
      </c>
      <c r="L142" s="259">
        <v>54</v>
      </c>
      <c r="M142" s="260">
        <f t="shared" si="45"/>
        <v>287</v>
      </c>
      <c r="N142" s="255">
        <v>3660</v>
      </c>
      <c r="O142" s="255">
        <v>3660</v>
      </c>
      <c r="P142" s="255">
        <v>3660</v>
      </c>
      <c r="Q142" s="255">
        <v>3660</v>
      </c>
      <c r="R142" s="262">
        <f t="shared" ref="R142:R186" si="59">SUMPRODUCT(I142:L142,N142:Q142)</f>
        <v>1050420</v>
      </c>
      <c r="S142" s="269">
        <f t="shared" ref="S142:S186" si="60">IF(N142&gt;prisgrense,I142*prisgrense,I142*N142)</f>
        <v>204960</v>
      </c>
      <c r="T142" s="269">
        <f t="shared" ref="T142:T186" si="61">IF(O142&gt;prisgrense,J142*prisgrense,J142*O142)</f>
        <v>384300</v>
      </c>
      <c r="U142" s="269">
        <f t="shared" ref="U142:U186" si="62">IF(P142&gt;prisgrense,K142*prisgrense,K142*P142)</f>
        <v>263520</v>
      </c>
      <c r="V142" s="269">
        <f t="shared" ref="V142:V186" si="63">IF(Q142&gt;prisgrense,L142*prisgrense,L142*Q142)</f>
        <v>197640</v>
      </c>
      <c r="W142" s="262">
        <f t="shared" si="6"/>
        <v>1050420</v>
      </c>
      <c r="X142" s="55" t="s">
        <v>582</v>
      </c>
      <c r="Y142" s="55"/>
      <c r="Z142" s="31">
        <v>76</v>
      </c>
    </row>
    <row r="143" spans="1:26" ht="12.75" hidden="1" outlineLevel="2" x14ac:dyDescent="0.2">
      <c r="A143" s="251" t="s">
        <v>382</v>
      </c>
      <c r="B143" s="251" t="s">
        <v>383</v>
      </c>
      <c r="C143" s="251" t="s">
        <v>201</v>
      </c>
      <c r="D143" s="251" t="s">
        <v>317</v>
      </c>
      <c r="E143" s="252" t="s">
        <v>17</v>
      </c>
      <c r="F143" s="253" t="s">
        <v>290</v>
      </c>
      <c r="G143" s="267">
        <v>2</v>
      </c>
      <c r="H143" s="267">
        <v>5</v>
      </c>
      <c r="I143" s="259">
        <v>28</v>
      </c>
      <c r="J143" s="259">
        <v>17</v>
      </c>
      <c r="K143" s="259">
        <v>13</v>
      </c>
      <c r="L143" s="259">
        <v>3</v>
      </c>
      <c r="M143" s="260">
        <f t="shared" si="45"/>
        <v>61</v>
      </c>
      <c r="N143" s="255">
        <v>3660</v>
      </c>
      <c r="O143" s="255">
        <v>3660</v>
      </c>
      <c r="P143" s="255">
        <v>3660</v>
      </c>
      <c r="Q143" s="255">
        <v>3660</v>
      </c>
      <c r="R143" s="262">
        <f t="shared" si="59"/>
        <v>223260</v>
      </c>
      <c r="S143" s="269">
        <f t="shared" si="60"/>
        <v>102480</v>
      </c>
      <c r="T143" s="269">
        <f t="shared" si="61"/>
        <v>62220</v>
      </c>
      <c r="U143" s="269">
        <f t="shared" si="62"/>
        <v>47580</v>
      </c>
      <c r="V143" s="269">
        <f t="shared" si="63"/>
        <v>10980</v>
      </c>
      <c r="W143" s="262">
        <f t="shared" si="6"/>
        <v>223260</v>
      </c>
      <c r="X143" s="55" t="s">
        <v>582</v>
      </c>
      <c r="Y143" s="55"/>
      <c r="Z143" s="31">
        <v>76</v>
      </c>
    </row>
    <row r="144" spans="1:26" ht="12.75" hidden="1" outlineLevel="2" x14ac:dyDescent="0.2">
      <c r="A144" s="251" t="s">
        <v>382</v>
      </c>
      <c r="B144" s="251" t="s">
        <v>383</v>
      </c>
      <c r="C144" s="251" t="s">
        <v>201</v>
      </c>
      <c r="D144" s="251" t="s">
        <v>318</v>
      </c>
      <c r="E144" s="252" t="s">
        <v>37</v>
      </c>
      <c r="F144" s="253" t="s">
        <v>290</v>
      </c>
      <c r="G144" s="267">
        <v>2</v>
      </c>
      <c r="H144" s="267">
        <v>5</v>
      </c>
      <c r="I144" s="259">
        <v>21</v>
      </c>
      <c r="J144" s="259">
        <v>26</v>
      </c>
      <c r="K144" s="259">
        <v>17</v>
      </c>
      <c r="L144" s="259">
        <v>8</v>
      </c>
      <c r="M144" s="260">
        <f t="shared" si="45"/>
        <v>72</v>
      </c>
      <c r="N144" s="255">
        <v>3660</v>
      </c>
      <c r="O144" s="255">
        <v>3660</v>
      </c>
      <c r="P144" s="255">
        <v>3660</v>
      </c>
      <c r="Q144" s="255">
        <v>3660</v>
      </c>
      <c r="R144" s="262">
        <f t="shared" si="59"/>
        <v>263520</v>
      </c>
      <c r="S144" s="269">
        <f t="shared" si="60"/>
        <v>76860</v>
      </c>
      <c r="T144" s="269">
        <f t="shared" si="61"/>
        <v>95160</v>
      </c>
      <c r="U144" s="269">
        <f t="shared" si="62"/>
        <v>62220</v>
      </c>
      <c r="V144" s="269">
        <f t="shared" si="63"/>
        <v>29280</v>
      </c>
      <c r="W144" s="262">
        <f t="shared" si="6"/>
        <v>263520</v>
      </c>
      <c r="X144" s="55" t="s">
        <v>582</v>
      </c>
      <c r="Y144" s="55"/>
      <c r="Z144" s="31">
        <v>76</v>
      </c>
    </row>
    <row r="145" spans="1:26" ht="12.75" hidden="1" outlineLevel="2" x14ac:dyDescent="0.2">
      <c r="A145" s="251" t="s">
        <v>382</v>
      </c>
      <c r="B145" s="251" t="s">
        <v>383</v>
      </c>
      <c r="C145" s="251" t="s">
        <v>577</v>
      </c>
      <c r="D145" s="251" t="s">
        <v>578</v>
      </c>
      <c r="E145" s="252" t="s">
        <v>291</v>
      </c>
      <c r="F145" s="253" t="s">
        <v>108</v>
      </c>
      <c r="G145" s="267">
        <v>2</v>
      </c>
      <c r="H145" s="267">
        <v>5</v>
      </c>
      <c r="I145" s="259"/>
      <c r="J145" s="259"/>
      <c r="K145" s="259">
        <v>4</v>
      </c>
      <c r="L145" s="259">
        <v>42</v>
      </c>
      <c r="M145" s="260">
        <f t="shared" ref="M145:M150" si="64">SUM(I145:L145)</f>
        <v>46</v>
      </c>
      <c r="N145" s="255"/>
      <c r="O145" s="255"/>
      <c r="P145" s="255">
        <v>3660</v>
      </c>
      <c r="Q145" s="255">
        <v>3660</v>
      </c>
      <c r="R145" s="262">
        <f t="shared" ref="R145:R150" si="65">SUMPRODUCT(I145:L145,N145:Q145)</f>
        <v>168360</v>
      </c>
      <c r="S145" s="269">
        <f t="shared" ref="S145:S150" si="66">IF(N145&gt;prisgrense,I145*prisgrense,I145*N145)</f>
        <v>0</v>
      </c>
      <c r="T145" s="269">
        <f t="shared" ref="T145:T150" si="67">IF(O145&gt;prisgrense,J145*prisgrense,J145*O145)</f>
        <v>0</v>
      </c>
      <c r="U145" s="269">
        <f t="shared" ref="U145:U150" si="68">IF(P145&gt;prisgrense,K145*prisgrense,K145*P145)</f>
        <v>14640</v>
      </c>
      <c r="V145" s="269">
        <f t="shared" ref="V145:V150" si="69">IF(Q145&gt;prisgrense,L145*prisgrense,L145*Q145)</f>
        <v>153720</v>
      </c>
      <c r="W145" s="262">
        <f t="shared" ref="W145:W150" si="70">SUM(S145:V145)</f>
        <v>168360</v>
      </c>
      <c r="X145" s="55" t="s">
        <v>583</v>
      </c>
      <c r="Y145" s="55"/>
    </row>
    <row r="146" spans="1:26" ht="12.75" hidden="1" outlineLevel="2" x14ac:dyDescent="0.2">
      <c r="A146" s="251" t="s">
        <v>382</v>
      </c>
      <c r="B146" s="251" t="s">
        <v>383</v>
      </c>
      <c r="C146" s="251" t="s">
        <v>577</v>
      </c>
      <c r="D146" s="251" t="s">
        <v>579</v>
      </c>
      <c r="E146" s="252" t="s">
        <v>16</v>
      </c>
      <c r="F146" s="253" t="s">
        <v>108</v>
      </c>
      <c r="G146" s="267">
        <v>2</v>
      </c>
      <c r="H146" s="267">
        <v>5</v>
      </c>
      <c r="I146" s="259"/>
      <c r="J146" s="259"/>
      <c r="K146" s="259">
        <v>12</v>
      </c>
      <c r="L146" s="259">
        <v>161</v>
      </c>
      <c r="M146" s="260">
        <f t="shared" si="64"/>
        <v>173</v>
      </c>
      <c r="N146" s="255"/>
      <c r="O146" s="255"/>
      <c r="P146" s="255">
        <v>3660</v>
      </c>
      <c r="Q146" s="255">
        <v>3660</v>
      </c>
      <c r="R146" s="262">
        <f t="shared" si="65"/>
        <v>633180</v>
      </c>
      <c r="S146" s="269">
        <f t="shared" si="66"/>
        <v>0</v>
      </c>
      <c r="T146" s="269">
        <f t="shared" si="67"/>
        <v>0</v>
      </c>
      <c r="U146" s="269">
        <f t="shared" si="68"/>
        <v>43920</v>
      </c>
      <c r="V146" s="269">
        <f t="shared" si="69"/>
        <v>589260</v>
      </c>
      <c r="W146" s="262">
        <f t="shared" si="70"/>
        <v>633180</v>
      </c>
      <c r="X146" s="55" t="s">
        <v>583</v>
      </c>
      <c r="Y146" s="55"/>
    </row>
    <row r="147" spans="1:26" ht="12.75" hidden="1" outlineLevel="2" x14ac:dyDescent="0.2">
      <c r="A147" s="251" t="s">
        <v>382</v>
      </c>
      <c r="B147" s="251" t="s">
        <v>383</v>
      </c>
      <c r="C147" s="251" t="s">
        <v>577</v>
      </c>
      <c r="D147" s="251" t="s">
        <v>580</v>
      </c>
      <c r="E147" s="252" t="s">
        <v>16</v>
      </c>
      <c r="F147" s="253" t="s">
        <v>106</v>
      </c>
      <c r="G147" s="267">
        <v>2</v>
      </c>
      <c r="H147" s="267">
        <v>5</v>
      </c>
      <c r="I147" s="259"/>
      <c r="J147" s="259"/>
      <c r="K147" s="259">
        <v>43</v>
      </c>
      <c r="L147" s="259">
        <v>553</v>
      </c>
      <c r="M147" s="260">
        <f t="shared" si="64"/>
        <v>596</v>
      </c>
      <c r="N147" s="255"/>
      <c r="O147" s="255"/>
      <c r="P147" s="255">
        <v>3660</v>
      </c>
      <c r="Q147" s="255">
        <v>3660</v>
      </c>
      <c r="R147" s="262">
        <f t="shared" si="65"/>
        <v>2181360</v>
      </c>
      <c r="S147" s="269">
        <f t="shared" si="66"/>
        <v>0</v>
      </c>
      <c r="T147" s="269">
        <f t="shared" si="67"/>
        <v>0</v>
      </c>
      <c r="U147" s="269">
        <f t="shared" si="68"/>
        <v>157380</v>
      </c>
      <c r="V147" s="269">
        <f t="shared" si="69"/>
        <v>2023980</v>
      </c>
      <c r="W147" s="262">
        <f t="shared" si="70"/>
        <v>2181360</v>
      </c>
      <c r="X147" s="55" t="s">
        <v>583</v>
      </c>
      <c r="Y147" s="55"/>
    </row>
    <row r="148" spans="1:26" ht="12.75" hidden="1" outlineLevel="2" x14ac:dyDescent="0.2">
      <c r="A148" s="251" t="s">
        <v>382</v>
      </c>
      <c r="B148" s="251" t="s">
        <v>383</v>
      </c>
      <c r="C148" s="251" t="s">
        <v>577</v>
      </c>
      <c r="D148" s="251" t="s">
        <v>581</v>
      </c>
      <c r="E148" s="252" t="s">
        <v>17</v>
      </c>
      <c r="F148" s="253" t="s">
        <v>290</v>
      </c>
      <c r="G148" s="267">
        <v>2</v>
      </c>
      <c r="H148" s="267">
        <v>5</v>
      </c>
      <c r="I148" s="259"/>
      <c r="J148" s="259"/>
      <c r="K148" s="259">
        <v>4</v>
      </c>
      <c r="L148" s="259">
        <v>25</v>
      </c>
      <c r="M148" s="260">
        <f t="shared" si="64"/>
        <v>29</v>
      </c>
      <c r="N148" s="255"/>
      <c r="O148" s="255"/>
      <c r="P148" s="255">
        <v>3660</v>
      </c>
      <c r="Q148" s="255">
        <v>3660</v>
      </c>
      <c r="R148" s="262">
        <f t="shared" si="65"/>
        <v>106140</v>
      </c>
      <c r="S148" s="269">
        <f t="shared" si="66"/>
        <v>0</v>
      </c>
      <c r="T148" s="269">
        <f t="shared" si="67"/>
        <v>0</v>
      </c>
      <c r="U148" s="269">
        <f t="shared" si="68"/>
        <v>14640</v>
      </c>
      <c r="V148" s="269">
        <f t="shared" si="69"/>
        <v>91500</v>
      </c>
      <c r="W148" s="262">
        <f t="shared" si="70"/>
        <v>106140</v>
      </c>
      <c r="X148" s="55" t="s">
        <v>583</v>
      </c>
      <c r="Y148" s="55"/>
    </row>
    <row r="149" spans="1:26" ht="12.75" hidden="1" outlineLevel="2" x14ac:dyDescent="0.2">
      <c r="A149" s="251" t="s">
        <v>382</v>
      </c>
      <c r="B149" s="251" t="s">
        <v>383</v>
      </c>
      <c r="C149" s="251" t="s">
        <v>577</v>
      </c>
      <c r="D149" s="251" t="s">
        <v>463</v>
      </c>
      <c r="E149" s="252" t="s">
        <v>17</v>
      </c>
      <c r="F149" s="253" t="s">
        <v>290</v>
      </c>
      <c r="G149" s="267">
        <v>2</v>
      </c>
      <c r="H149" s="267">
        <v>5</v>
      </c>
      <c r="I149" s="259"/>
      <c r="J149" s="259"/>
      <c r="K149" s="259">
        <v>2</v>
      </c>
      <c r="L149" s="259">
        <v>49</v>
      </c>
      <c r="M149" s="260">
        <f t="shared" si="64"/>
        <v>51</v>
      </c>
      <c r="N149" s="255"/>
      <c r="O149" s="255"/>
      <c r="P149" s="255">
        <v>3660</v>
      </c>
      <c r="Q149" s="255">
        <v>3660</v>
      </c>
      <c r="R149" s="262">
        <f t="shared" si="65"/>
        <v>186660</v>
      </c>
      <c r="S149" s="269">
        <f t="shared" si="66"/>
        <v>0</v>
      </c>
      <c r="T149" s="269">
        <f t="shared" si="67"/>
        <v>0</v>
      </c>
      <c r="U149" s="269">
        <f t="shared" si="68"/>
        <v>7320</v>
      </c>
      <c r="V149" s="269">
        <f t="shared" si="69"/>
        <v>179340</v>
      </c>
      <c r="W149" s="262">
        <f t="shared" si="70"/>
        <v>186660</v>
      </c>
      <c r="X149" s="55" t="s">
        <v>583</v>
      </c>
      <c r="Y149" s="55"/>
    </row>
    <row r="150" spans="1:26" ht="12.75" hidden="1" outlineLevel="2" x14ac:dyDescent="0.2">
      <c r="A150" s="251" t="s">
        <v>382</v>
      </c>
      <c r="B150" s="251" t="s">
        <v>383</v>
      </c>
      <c r="C150" s="251" t="s">
        <v>577</v>
      </c>
      <c r="D150" s="251" t="s">
        <v>37</v>
      </c>
      <c r="E150" s="252" t="s">
        <v>37</v>
      </c>
      <c r="F150" s="253" t="s">
        <v>290</v>
      </c>
      <c r="G150" s="267">
        <v>2</v>
      </c>
      <c r="H150" s="267">
        <v>5</v>
      </c>
      <c r="I150" s="259"/>
      <c r="J150" s="259"/>
      <c r="K150" s="259">
        <v>1</v>
      </c>
      <c r="L150" s="259">
        <v>18</v>
      </c>
      <c r="M150" s="260">
        <f t="shared" si="64"/>
        <v>19</v>
      </c>
      <c r="N150" s="255"/>
      <c r="O150" s="255"/>
      <c r="P150" s="255">
        <v>3660</v>
      </c>
      <c r="Q150" s="255">
        <v>3660</v>
      </c>
      <c r="R150" s="262">
        <f t="shared" si="65"/>
        <v>69540</v>
      </c>
      <c r="S150" s="269">
        <f t="shared" si="66"/>
        <v>0</v>
      </c>
      <c r="T150" s="269">
        <f t="shared" si="67"/>
        <v>0</v>
      </c>
      <c r="U150" s="269">
        <f t="shared" si="68"/>
        <v>3660</v>
      </c>
      <c r="V150" s="269">
        <f t="shared" si="69"/>
        <v>65880</v>
      </c>
      <c r="W150" s="262">
        <f t="shared" si="70"/>
        <v>69540</v>
      </c>
      <c r="X150" s="55" t="s">
        <v>583</v>
      </c>
      <c r="Y150" s="55"/>
    </row>
    <row r="151" spans="1:26" ht="12.75" hidden="1" outlineLevel="2" x14ac:dyDescent="0.2">
      <c r="A151" s="251" t="s">
        <v>1</v>
      </c>
      <c r="B151" s="251" t="s">
        <v>379</v>
      </c>
      <c r="C151" s="251" t="s">
        <v>319</v>
      </c>
      <c r="D151" s="251" t="s">
        <v>166</v>
      </c>
      <c r="E151" s="252" t="s">
        <v>16</v>
      </c>
      <c r="F151" s="253" t="s">
        <v>108</v>
      </c>
      <c r="G151" s="267">
        <v>2</v>
      </c>
      <c r="H151" s="267">
        <v>5</v>
      </c>
      <c r="I151" s="259">
        <v>528</v>
      </c>
      <c r="J151" s="259">
        <v>697</v>
      </c>
      <c r="K151" s="259">
        <v>615</v>
      </c>
      <c r="L151" s="259">
        <v>796</v>
      </c>
      <c r="M151" s="260">
        <f t="shared" si="45"/>
        <v>2636</v>
      </c>
      <c r="N151" s="255">
        <v>3750</v>
      </c>
      <c r="O151" s="255">
        <v>3750</v>
      </c>
      <c r="P151" s="255">
        <v>3750</v>
      </c>
      <c r="Q151" s="255">
        <v>3750</v>
      </c>
      <c r="R151" s="262">
        <f t="shared" si="59"/>
        <v>9885000</v>
      </c>
      <c r="S151" s="269">
        <f t="shared" si="60"/>
        <v>1980000</v>
      </c>
      <c r="T151" s="269">
        <f t="shared" si="61"/>
        <v>2613750</v>
      </c>
      <c r="U151" s="269">
        <f t="shared" si="62"/>
        <v>2306250</v>
      </c>
      <c r="V151" s="269">
        <f t="shared" si="63"/>
        <v>2985000</v>
      </c>
      <c r="W151" s="262">
        <f t="shared" si="6"/>
        <v>9885000</v>
      </c>
      <c r="X151" s="55"/>
      <c r="Y151" s="55"/>
      <c r="Z151" s="31">
        <v>76</v>
      </c>
    </row>
    <row r="152" spans="1:26" ht="12.75" hidden="1" outlineLevel="2" x14ac:dyDescent="0.2">
      <c r="A152" s="251" t="s">
        <v>1</v>
      </c>
      <c r="B152" s="251" t="s">
        <v>379</v>
      </c>
      <c r="C152" s="251"/>
      <c r="D152" s="251" t="s">
        <v>320</v>
      </c>
      <c r="E152" s="252" t="s">
        <v>16</v>
      </c>
      <c r="F152" s="253" t="s">
        <v>106</v>
      </c>
      <c r="G152" s="267">
        <v>2</v>
      </c>
      <c r="H152" s="267">
        <v>5</v>
      </c>
      <c r="I152" s="259">
        <v>505</v>
      </c>
      <c r="J152" s="259">
        <v>766</v>
      </c>
      <c r="K152" s="259">
        <v>581</v>
      </c>
      <c r="L152" s="259">
        <v>869</v>
      </c>
      <c r="M152" s="260">
        <f t="shared" si="45"/>
        <v>2721</v>
      </c>
      <c r="N152" s="255">
        <v>3750</v>
      </c>
      <c r="O152" s="255">
        <v>3750</v>
      </c>
      <c r="P152" s="255">
        <v>3750</v>
      </c>
      <c r="Q152" s="255">
        <v>3750</v>
      </c>
      <c r="R152" s="262">
        <f t="shared" si="59"/>
        <v>10203750</v>
      </c>
      <c r="S152" s="269">
        <f t="shared" si="60"/>
        <v>1893750</v>
      </c>
      <c r="T152" s="269">
        <f t="shared" si="61"/>
        <v>2872500</v>
      </c>
      <c r="U152" s="269">
        <f t="shared" si="62"/>
        <v>2178750</v>
      </c>
      <c r="V152" s="269">
        <f t="shared" si="63"/>
        <v>3258750</v>
      </c>
      <c r="W152" s="262">
        <f t="shared" si="6"/>
        <v>10203750</v>
      </c>
      <c r="X152" s="55"/>
      <c r="Y152" s="55"/>
      <c r="Z152" s="31">
        <v>76</v>
      </c>
    </row>
    <row r="153" spans="1:26" ht="12.75" hidden="1" outlineLevel="2" x14ac:dyDescent="0.2">
      <c r="A153" s="251" t="s">
        <v>1</v>
      </c>
      <c r="B153" s="251" t="s">
        <v>379</v>
      </c>
      <c r="C153" s="251"/>
      <c r="D153" s="251" t="s">
        <v>321</v>
      </c>
      <c r="E153" s="252" t="s">
        <v>17</v>
      </c>
      <c r="F153" s="253" t="s">
        <v>290</v>
      </c>
      <c r="G153" s="267">
        <v>2</v>
      </c>
      <c r="H153" s="267">
        <v>5</v>
      </c>
      <c r="I153" s="259">
        <v>355</v>
      </c>
      <c r="J153" s="259">
        <v>424</v>
      </c>
      <c r="K153" s="259">
        <v>335</v>
      </c>
      <c r="L153" s="259">
        <v>379</v>
      </c>
      <c r="M153" s="260">
        <f t="shared" si="45"/>
        <v>1493</v>
      </c>
      <c r="N153" s="255">
        <v>3750</v>
      </c>
      <c r="O153" s="255">
        <v>3750</v>
      </c>
      <c r="P153" s="255">
        <v>3750</v>
      </c>
      <c r="Q153" s="255">
        <v>3750</v>
      </c>
      <c r="R153" s="262">
        <f t="shared" si="59"/>
        <v>5598750</v>
      </c>
      <c r="S153" s="269">
        <f t="shared" si="60"/>
        <v>1331250</v>
      </c>
      <c r="T153" s="269">
        <f t="shared" si="61"/>
        <v>1590000</v>
      </c>
      <c r="U153" s="269">
        <f t="shared" si="62"/>
        <v>1256250</v>
      </c>
      <c r="V153" s="269">
        <f t="shared" si="63"/>
        <v>1421250</v>
      </c>
      <c r="W153" s="262">
        <f t="shared" si="6"/>
        <v>5598750</v>
      </c>
      <c r="X153" s="55"/>
      <c r="Y153" s="55"/>
      <c r="Z153" s="31">
        <v>76</v>
      </c>
    </row>
    <row r="154" spans="1:26" ht="12.75" hidden="1" outlineLevel="2" x14ac:dyDescent="0.2">
      <c r="A154" s="251" t="s">
        <v>1</v>
      </c>
      <c r="B154" s="251" t="s">
        <v>379</v>
      </c>
      <c r="C154" s="251"/>
      <c r="D154" s="251" t="s">
        <v>169</v>
      </c>
      <c r="E154" s="252" t="s">
        <v>37</v>
      </c>
      <c r="F154" s="253" t="s">
        <v>290</v>
      </c>
      <c r="G154" s="267">
        <v>2</v>
      </c>
      <c r="H154" s="267">
        <v>5</v>
      </c>
      <c r="I154" s="259">
        <v>183</v>
      </c>
      <c r="J154" s="259">
        <v>266</v>
      </c>
      <c r="K154" s="259">
        <v>160</v>
      </c>
      <c r="L154" s="259">
        <v>244</v>
      </c>
      <c r="M154" s="260">
        <f t="shared" si="45"/>
        <v>853</v>
      </c>
      <c r="N154" s="255">
        <v>3750</v>
      </c>
      <c r="O154" s="255">
        <v>3750</v>
      </c>
      <c r="P154" s="255">
        <v>3750</v>
      </c>
      <c r="Q154" s="255">
        <v>3750</v>
      </c>
      <c r="R154" s="262">
        <f t="shared" si="59"/>
        <v>3198750</v>
      </c>
      <c r="S154" s="269">
        <f t="shared" si="60"/>
        <v>686250</v>
      </c>
      <c r="T154" s="269">
        <f t="shared" si="61"/>
        <v>997500</v>
      </c>
      <c r="U154" s="269">
        <f t="shared" si="62"/>
        <v>600000</v>
      </c>
      <c r="V154" s="269">
        <f t="shared" si="63"/>
        <v>915000</v>
      </c>
      <c r="W154" s="262">
        <f t="shared" si="6"/>
        <v>3198750</v>
      </c>
      <c r="X154" s="55"/>
      <c r="Y154" s="55"/>
      <c r="Z154" s="31">
        <v>76</v>
      </c>
    </row>
    <row r="155" spans="1:26" ht="12.75" hidden="1" outlineLevel="2" x14ac:dyDescent="0.2">
      <c r="A155" s="251" t="s">
        <v>1</v>
      </c>
      <c r="B155" s="251" t="s">
        <v>379</v>
      </c>
      <c r="C155" s="251" t="s">
        <v>322</v>
      </c>
      <c r="D155" s="251" t="s">
        <v>166</v>
      </c>
      <c r="E155" s="252" t="s">
        <v>16</v>
      </c>
      <c r="F155" s="253" t="s">
        <v>108</v>
      </c>
      <c r="G155" s="267">
        <v>2</v>
      </c>
      <c r="H155" s="267">
        <v>5</v>
      </c>
      <c r="I155" s="259"/>
      <c r="J155" s="259"/>
      <c r="K155" s="259"/>
      <c r="L155" s="259"/>
      <c r="M155" s="260">
        <f t="shared" si="45"/>
        <v>0</v>
      </c>
      <c r="N155" s="255">
        <v>3750</v>
      </c>
      <c r="O155" s="255">
        <v>3750</v>
      </c>
      <c r="P155" s="255">
        <v>3750</v>
      </c>
      <c r="Q155" s="255">
        <v>3750</v>
      </c>
      <c r="R155" s="262">
        <f t="shared" si="59"/>
        <v>0</v>
      </c>
      <c r="S155" s="269">
        <f t="shared" si="60"/>
        <v>0</v>
      </c>
      <c r="T155" s="269">
        <f t="shared" si="61"/>
        <v>0</v>
      </c>
      <c r="U155" s="269">
        <f t="shared" si="62"/>
        <v>0</v>
      </c>
      <c r="V155" s="269">
        <f t="shared" si="63"/>
        <v>0</v>
      </c>
      <c r="W155" s="262">
        <f t="shared" si="6"/>
        <v>0</v>
      </c>
      <c r="X155" s="55"/>
      <c r="Y155" s="55"/>
      <c r="Z155" s="31">
        <v>76</v>
      </c>
    </row>
    <row r="156" spans="1:26" ht="12.75" hidden="1" outlineLevel="2" x14ac:dyDescent="0.2">
      <c r="A156" s="251" t="s">
        <v>1</v>
      </c>
      <c r="B156" s="251" t="s">
        <v>379</v>
      </c>
      <c r="C156" s="251"/>
      <c r="D156" s="251" t="s">
        <v>168</v>
      </c>
      <c r="E156" s="252" t="s">
        <v>16</v>
      </c>
      <c r="F156" s="253" t="s">
        <v>106</v>
      </c>
      <c r="G156" s="267">
        <v>2</v>
      </c>
      <c r="H156" s="267">
        <v>5</v>
      </c>
      <c r="I156" s="259">
        <v>397</v>
      </c>
      <c r="J156" s="259">
        <v>504</v>
      </c>
      <c r="K156" s="259">
        <v>414</v>
      </c>
      <c r="L156" s="259">
        <v>549</v>
      </c>
      <c r="M156" s="260">
        <f t="shared" si="45"/>
        <v>1864</v>
      </c>
      <c r="N156" s="255">
        <v>3750</v>
      </c>
      <c r="O156" s="255">
        <v>3750</v>
      </c>
      <c r="P156" s="255">
        <v>3750</v>
      </c>
      <c r="Q156" s="255">
        <v>3750</v>
      </c>
      <c r="R156" s="262">
        <f t="shared" si="59"/>
        <v>6990000</v>
      </c>
      <c r="S156" s="269">
        <f t="shared" si="60"/>
        <v>1488750</v>
      </c>
      <c r="T156" s="269">
        <f t="shared" si="61"/>
        <v>1890000</v>
      </c>
      <c r="U156" s="269">
        <f t="shared" si="62"/>
        <v>1552500</v>
      </c>
      <c r="V156" s="269">
        <f t="shared" si="63"/>
        <v>2058750</v>
      </c>
      <c r="W156" s="262">
        <f t="shared" si="6"/>
        <v>6990000</v>
      </c>
      <c r="X156" s="55"/>
      <c r="Y156" s="55"/>
      <c r="Z156" s="31">
        <v>76</v>
      </c>
    </row>
    <row r="157" spans="1:26" ht="12.75" hidden="1" outlineLevel="2" x14ac:dyDescent="0.2">
      <c r="A157" s="251" t="s">
        <v>1</v>
      </c>
      <c r="B157" s="251" t="s">
        <v>379</v>
      </c>
      <c r="C157" s="251"/>
      <c r="D157" s="251" t="s">
        <v>321</v>
      </c>
      <c r="E157" s="252" t="s">
        <v>17</v>
      </c>
      <c r="F157" s="253" t="s">
        <v>290</v>
      </c>
      <c r="G157" s="267">
        <v>2</v>
      </c>
      <c r="H157" s="267">
        <v>5</v>
      </c>
      <c r="I157" s="259"/>
      <c r="J157" s="259"/>
      <c r="K157" s="259"/>
      <c r="L157" s="259"/>
      <c r="M157" s="260">
        <f t="shared" si="45"/>
        <v>0</v>
      </c>
      <c r="N157" s="255">
        <v>3750</v>
      </c>
      <c r="O157" s="255">
        <v>3750</v>
      </c>
      <c r="P157" s="255">
        <v>3750</v>
      </c>
      <c r="Q157" s="255">
        <v>3750</v>
      </c>
      <c r="R157" s="262">
        <f t="shared" si="59"/>
        <v>0</v>
      </c>
      <c r="S157" s="269">
        <f t="shared" si="60"/>
        <v>0</v>
      </c>
      <c r="T157" s="269">
        <f t="shared" si="61"/>
        <v>0</v>
      </c>
      <c r="U157" s="269">
        <f t="shared" si="62"/>
        <v>0</v>
      </c>
      <c r="V157" s="269">
        <f t="shared" si="63"/>
        <v>0</v>
      </c>
      <c r="W157" s="262">
        <f t="shared" si="6"/>
        <v>0</v>
      </c>
      <c r="X157" s="55"/>
      <c r="Y157" s="55"/>
      <c r="Z157" s="31">
        <v>76</v>
      </c>
    </row>
    <row r="158" spans="1:26" ht="12.75" hidden="1" outlineLevel="2" x14ac:dyDescent="0.2">
      <c r="A158" s="251" t="s">
        <v>1</v>
      </c>
      <c r="B158" s="251" t="s">
        <v>379</v>
      </c>
      <c r="C158" s="251"/>
      <c r="D158" s="251" t="s">
        <v>169</v>
      </c>
      <c r="E158" s="252" t="s">
        <v>37</v>
      </c>
      <c r="F158" s="253" t="s">
        <v>290</v>
      </c>
      <c r="G158" s="267">
        <v>2</v>
      </c>
      <c r="H158" s="267">
        <v>5</v>
      </c>
      <c r="I158" s="259"/>
      <c r="J158" s="259"/>
      <c r="K158" s="259"/>
      <c r="L158" s="259"/>
      <c r="M158" s="260">
        <f t="shared" si="45"/>
        <v>0</v>
      </c>
      <c r="N158" s="255">
        <v>3750</v>
      </c>
      <c r="O158" s="255">
        <v>3750</v>
      </c>
      <c r="P158" s="255">
        <v>3750</v>
      </c>
      <c r="Q158" s="255">
        <v>3750</v>
      </c>
      <c r="R158" s="262">
        <f t="shared" si="59"/>
        <v>0</v>
      </c>
      <c r="S158" s="269">
        <f t="shared" si="60"/>
        <v>0</v>
      </c>
      <c r="T158" s="269">
        <f t="shared" si="61"/>
        <v>0</v>
      </c>
      <c r="U158" s="269">
        <f t="shared" si="62"/>
        <v>0</v>
      </c>
      <c r="V158" s="269">
        <f t="shared" si="63"/>
        <v>0</v>
      </c>
      <c r="W158" s="262">
        <f t="shared" si="6"/>
        <v>0</v>
      </c>
      <c r="X158" s="55"/>
      <c r="Y158" s="55"/>
      <c r="Z158" s="31">
        <v>76</v>
      </c>
    </row>
    <row r="159" spans="1:26" ht="12.75" hidden="1" outlineLevel="2" x14ac:dyDescent="0.2">
      <c r="A159" s="251" t="s">
        <v>377</v>
      </c>
      <c r="B159" s="251" t="s">
        <v>378</v>
      </c>
      <c r="C159" s="251" t="s">
        <v>323</v>
      </c>
      <c r="D159" s="251" t="s">
        <v>324</v>
      </c>
      <c r="E159" s="252" t="s">
        <v>16</v>
      </c>
      <c r="F159" s="253" t="s">
        <v>561</v>
      </c>
      <c r="G159" s="267">
        <v>2</v>
      </c>
      <c r="H159" s="267">
        <v>5</v>
      </c>
      <c r="I159" s="259">
        <v>0</v>
      </c>
      <c r="J159" s="259"/>
      <c r="K159" s="259">
        <v>1</v>
      </c>
      <c r="L159" s="259"/>
      <c r="M159" s="260">
        <f t="shared" si="45"/>
        <v>1</v>
      </c>
      <c r="N159" s="255">
        <v>3400</v>
      </c>
      <c r="O159" s="255">
        <v>3400</v>
      </c>
      <c r="P159" s="255">
        <v>3400</v>
      </c>
      <c r="Q159" s="255">
        <v>3400</v>
      </c>
      <c r="R159" s="262">
        <f t="shared" si="59"/>
        <v>3400</v>
      </c>
      <c r="S159" s="269">
        <f t="shared" si="60"/>
        <v>0</v>
      </c>
      <c r="T159" s="269">
        <f t="shared" si="61"/>
        <v>0</v>
      </c>
      <c r="U159" s="269">
        <f t="shared" si="62"/>
        <v>3400</v>
      </c>
      <c r="V159" s="269">
        <f t="shared" si="63"/>
        <v>0</v>
      </c>
      <c r="W159" s="262">
        <f t="shared" si="6"/>
        <v>3400</v>
      </c>
      <c r="X159" s="55" t="s">
        <v>582</v>
      </c>
      <c r="Y159" s="55"/>
      <c r="Z159" s="31">
        <v>76</v>
      </c>
    </row>
    <row r="160" spans="1:26" ht="12.75" hidden="1" outlineLevel="2" x14ac:dyDescent="0.2">
      <c r="A160" s="251" t="s">
        <v>377</v>
      </c>
      <c r="B160" s="251" t="s">
        <v>378</v>
      </c>
      <c r="C160" s="251">
        <v>701</v>
      </c>
      <c r="D160" s="251" t="s">
        <v>325</v>
      </c>
      <c r="E160" s="252" t="s">
        <v>16</v>
      </c>
      <c r="F160" s="253" t="s">
        <v>561</v>
      </c>
      <c r="G160" s="267">
        <v>2</v>
      </c>
      <c r="H160" s="267">
        <v>5</v>
      </c>
      <c r="I160" s="259">
        <v>8</v>
      </c>
      <c r="J160" s="259">
        <v>20</v>
      </c>
      <c r="K160" s="259">
        <v>5</v>
      </c>
      <c r="L160" s="259">
        <v>3</v>
      </c>
      <c r="M160" s="260">
        <f t="shared" si="45"/>
        <v>36</v>
      </c>
      <c r="N160" s="255">
        <v>3400</v>
      </c>
      <c r="O160" s="255">
        <v>3400</v>
      </c>
      <c r="P160" s="255">
        <v>3400</v>
      </c>
      <c r="Q160" s="255">
        <v>3400</v>
      </c>
      <c r="R160" s="262">
        <f t="shared" si="59"/>
        <v>122400</v>
      </c>
      <c r="S160" s="269">
        <f t="shared" si="60"/>
        <v>27200</v>
      </c>
      <c r="T160" s="269">
        <f t="shared" si="61"/>
        <v>68000</v>
      </c>
      <c r="U160" s="269">
        <f t="shared" si="62"/>
        <v>17000</v>
      </c>
      <c r="V160" s="269">
        <f t="shared" si="63"/>
        <v>10200</v>
      </c>
      <c r="W160" s="262">
        <f t="shared" si="6"/>
        <v>122400</v>
      </c>
      <c r="X160" s="55" t="s">
        <v>582</v>
      </c>
      <c r="Y160" s="55"/>
      <c r="Z160" s="31">
        <v>76</v>
      </c>
    </row>
    <row r="161" spans="1:26" ht="12.75" hidden="1" outlineLevel="2" x14ac:dyDescent="0.2">
      <c r="A161" s="251" t="s">
        <v>377</v>
      </c>
      <c r="B161" s="251" t="s">
        <v>378</v>
      </c>
      <c r="C161" s="251">
        <v>701</v>
      </c>
      <c r="D161" s="251" t="s">
        <v>193</v>
      </c>
      <c r="E161" s="252" t="s">
        <v>16</v>
      </c>
      <c r="F161" s="253" t="s">
        <v>108</v>
      </c>
      <c r="G161" s="267">
        <v>2</v>
      </c>
      <c r="H161" s="267">
        <v>5</v>
      </c>
      <c r="I161" s="259">
        <v>62</v>
      </c>
      <c r="J161" s="259">
        <v>40</v>
      </c>
      <c r="K161" s="259">
        <v>41</v>
      </c>
      <c r="L161" s="259">
        <v>22</v>
      </c>
      <c r="M161" s="260">
        <f t="shared" si="45"/>
        <v>165</v>
      </c>
      <c r="N161" s="255">
        <v>3400</v>
      </c>
      <c r="O161" s="255">
        <v>3400</v>
      </c>
      <c r="P161" s="255">
        <v>3400</v>
      </c>
      <c r="Q161" s="255">
        <v>3400</v>
      </c>
      <c r="R161" s="262">
        <f t="shared" si="59"/>
        <v>561000</v>
      </c>
      <c r="S161" s="269">
        <f t="shared" si="60"/>
        <v>210800</v>
      </c>
      <c r="T161" s="269">
        <f t="shared" si="61"/>
        <v>136000</v>
      </c>
      <c r="U161" s="269">
        <f t="shared" si="62"/>
        <v>139400</v>
      </c>
      <c r="V161" s="269">
        <f t="shared" si="63"/>
        <v>74800</v>
      </c>
      <c r="W161" s="262">
        <f t="shared" si="6"/>
        <v>561000</v>
      </c>
      <c r="X161" s="55" t="s">
        <v>582</v>
      </c>
      <c r="Y161" s="55"/>
      <c r="Z161" s="31">
        <v>76</v>
      </c>
    </row>
    <row r="162" spans="1:26" ht="12.75" hidden="1" outlineLevel="2" x14ac:dyDescent="0.2">
      <c r="A162" s="251" t="s">
        <v>377</v>
      </c>
      <c r="B162" s="251" t="s">
        <v>378</v>
      </c>
      <c r="C162" s="251">
        <v>701</v>
      </c>
      <c r="D162" s="251" t="s">
        <v>326</v>
      </c>
      <c r="E162" s="252" t="s">
        <v>17</v>
      </c>
      <c r="F162" s="253" t="s">
        <v>290</v>
      </c>
      <c r="G162" s="267">
        <v>2</v>
      </c>
      <c r="H162" s="267">
        <v>5</v>
      </c>
      <c r="I162" s="259">
        <v>44</v>
      </c>
      <c r="J162" s="259">
        <v>103</v>
      </c>
      <c r="K162" s="259">
        <v>29</v>
      </c>
      <c r="L162" s="259">
        <v>26</v>
      </c>
      <c r="M162" s="260">
        <f t="shared" si="45"/>
        <v>202</v>
      </c>
      <c r="N162" s="255">
        <v>3400</v>
      </c>
      <c r="O162" s="255">
        <v>3400</v>
      </c>
      <c r="P162" s="255">
        <v>3400</v>
      </c>
      <c r="Q162" s="255">
        <v>3400</v>
      </c>
      <c r="R162" s="262">
        <f t="shared" si="59"/>
        <v>686800</v>
      </c>
      <c r="S162" s="269">
        <f t="shared" si="60"/>
        <v>149600</v>
      </c>
      <c r="T162" s="269">
        <f t="shared" si="61"/>
        <v>350200</v>
      </c>
      <c r="U162" s="269">
        <f t="shared" si="62"/>
        <v>98600</v>
      </c>
      <c r="V162" s="269">
        <f t="shared" si="63"/>
        <v>88400</v>
      </c>
      <c r="W162" s="262">
        <f t="shared" si="6"/>
        <v>686800</v>
      </c>
      <c r="X162" s="55" t="s">
        <v>582</v>
      </c>
      <c r="Y162" s="55"/>
      <c r="Z162" s="31">
        <v>76</v>
      </c>
    </row>
    <row r="163" spans="1:26" ht="12.75" hidden="1" outlineLevel="2" x14ac:dyDescent="0.2">
      <c r="A163" s="251" t="s">
        <v>377</v>
      </c>
      <c r="B163" s="251" t="s">
        <v>378</v>
      </c>
      <c r="C163" s="251">
        <v>701</v>
      </c>
      <c r="D163" s="251" t="s">
        <v>327</v>
      </c>
      <c r="E163" s="252" t="s">
        <v>17</v>
      </c>
      <c r="F163" s="253" t="s">
        <v>290</v>
      </c>
      <c r="G163" s="267">
        <v>2</v>
      </c>
      <c r="H163" s="267">
        <v>5</v>
      </c>
      <c r="I163" s="259">
        <v>0</v>
      </c>
      <c r="J163" s="259">
        <v>0</v>
      </c>
      <c r="K163" s="259">
        <v>13</v>
      </c>
      <c r="L163" s="259"/>
      <c r="M163" s="260">
        <f t="shared" si="45"/>
        <v>13</v>
      </c>
      <c r="N163" s="255">
        <v>3400</v>
      </c>
      <c r="O163" s="255">
        <v>3400</v>
      </c>
      <c r="P163" s="255">
        <v>3400</v>
      </c>
      <c r="Q163" s="255">
        <v>3400</v>
      </c>
      <c r="R163" s="262">
        <f t="shared" si="59"/>
        <v>44200</v>
      </c>
      <c r="S163" s="269">
        <f t="shared" si="60"/>
        <v>0</v>
      </c>
      <c r="T163" s="269">
        <f t="shared" si="61"/>
        <v>0</v>
      </c>
      <c r="U163" s="269">
        <f t="shared" si="62"/>
        <v>44200</v>
      </c>
      <c r="V163" s="269">
        <f t="shared" si="63"/>
        <v>0</v>
      </c>
      <c r="W163" s="262">
        <f t="shared" si="6"/>
        <v>44200</v>
      </c>
      <c r="X163" s="55" t="s">
        <v>582</v>
      </c>
      <c r="Y163" s="55"/>
      <c r="Z163" s="31">
        <v>76</v>
      </c>
    </row>
    <row r="164" spans="1:26" ht="12.75" hidden="1" outlineLevel="2" x14ac:dyDescent="0.2">
      <c r="A164" s="251" t="s">
        <v>377</v>
      </c>
      <c r="B164" s="251" t="s">
        <v>378</v>
      </c>
      <c r="C164" s="251">
        <v>701</v>
      </c>
      <c r="D164" s="251" t="s">
        <v>328</v>
      </c>
      <c r="E164" s="252" t="s">
        <v>37</v>
      </c>
      <c r="F164" s="253" t="s">
        <v>290</v>
      </c>
      <c r="G164" s="267">
        <v>2</v>
      </c>
      <c r="H164" s="267">
        <v>5</v>
      </c>
      <c r="I164" s="259">
        <v>17</v>
      </c>
      <c r="J164" s="259">
        <v>18</v>
      </c>
      <c r="K164" s="259">
        <v>11</v>
      </c>
      <c r="L164" s="259">
        <v>34</v>
      </c>
      <c r="M164" s="260">
        <f t="shared" si="45"/>
        <v>80</v>
      </c>
      <c r="N164" s="255">
        <v>3400</v>
      </c>
      <c r="O164" s="255">
        <v>3400</v>
      </c>
      <c r="P164" s="255">
        <v>3400</v>
      </c>
      <c r="Q164" s="255">
        <v>3400</v>
      </c>
      <c r="R164" s="262">
        <f t="shared" si="59"/>
        <v>272000</v>
      </c>
      <c r="S164" s="269">
        <f t="shared" si="60"/>
        <v>57800</v>
      </c>
      <c r="T164" s="269">
        <f t="shared" si="61"/>
        <v>61200</v>
      </c>
      <c r="U164" s="269">
        <f t="shared" si="62"/>
        <v>37400</v>
      </c>
      <c r="V164" s="269">
        <f t="shared" si="63"/>
        <v>115600</v>
      </c>
      <c r="W164" s="262">
        <f t="shared" si="6"/>
        <v>272000</v>
      </c>
      <c r="X164" s="55" t="s">
        <v>582</v>
      </c>
      <c r="Y164" s="55"/>
      <c r="Z164" s="31">
        <v>76</v>
      </c>
    </row>
    <row r="165" spans="1:26" ht="12.75" hidden="1" outlineLevel="2" x14ac:dyDescent="0.2">
      <c r="A165" s="251" t="s">
        <v>377</v>
      </c>
      <c r="B165" s="251" t="s">
        <v>378</v>
      </c>
      <c r="C165" s="251">
        <v>701</v>
      </c>
      <c r="D165" s="251" t="s">
        <v>329</v>
      </c>
      <c r="E165" s="252" t="s">
        <v>16</v>
      </c>
      <c r="F165" s="253" t="s">
        <v>106</v>
      </c>
      <c r="G165" s="267">
        <v>2</v>
      </c>
      <c r="H165" s="267">
        <v>5</v>
      </c>
      <c r="I165" s="259">
        <v>452</v>
      </c>
      <c r="J165" s="259">
        <v>309</v>
      </c>
      <c r="K165" s="259">
        <v>146</v>
      </c>
      <c r="L165" s="259">
        <v>77</v>
      </c>
      <c r="M165" s="260">
        <f t="shared" si="45"/>
        <v>984</v>
      </c>
      <c r="N165" s="255">
        <v>3400</v>
      </c>
      <c r="O165" s="255">
        <v>3400</v>
      </c>
      <c r="P165" s="255">
        <v>3400</v>
      </c>
      <c r="Q165" s="255">
        <v>3400</v>
      </c>
      <c r="R165" s="262">
        <f t="shared" si="59"/>
        <v>3345600</v>
      </c>
      <c r="S165" s="269">
        <f t="shared" si="60"/>
        <v>1536800</v>
      </c>
      <c r="T165" s="269">
        <f t="shared" si="61"/>
        <v>1050600</v>
      </c>
      <c r="U165" s="269">
        <f t="shared" si="62"/>
        <v>496400</v>
      </c>
      <c r="V165" s="269">
        <f t="shared" si="63"/>
        <v>261800</v>
      </c>
      <c r="W165" s="262">
        <f t="shared" si="6"/>
        <v>3345600</v>
      </c>
      <c r="X165" s="55" t="s">
        <v>582</v>
      </c>
      <c r="Y165" s="55"/>
      <c r="Z165" s="31">
        <v>76</v>
      </c>
    </row>
    <row r="166" spans="1:26" ht="12.75" hidden="1" outlineLevel="2" x14ac:dyDescent="0.2">
      <c r="A166" s="251" t="s">
        <v>377</v>
      </c>
      <c r="B166" s="251" t="s">
        <v>378</v>
      </c>
      <c r="C166" s="251" t="s">
        <v>584</v>
      </c>
      <c r="D166" s="251" t="s">
        <v>585</v>
      </c>
      <c r="E166" s="252" t="s">
        <v>16</v>
      </c>
      <c r="F166" s="253" t="s">
        <v>108</v>
      </c>
      <c r="G166" s="267">
        <v>2</v>
      </c>
      <c r="H166" s="267">
        <v>5</v>
      </c>
      <c r="I166" s="259"/>
      <c r="J166" s="259"/>
      <c r="K166" s="259"/>
      <c r="L166" s="259">
        <v>23</v>
      </c>
      <c r="M166" s="260">
        <f t="shared" si="45"/>
        <v>23</v>
      </c>
      <c r="N166" s="255"/>
      <c r="O166" s="255"/>
      <c r="P166" s="255">
        <v>3400</v>
      </c>
      <c r="Q166" s="255">
        <v>3400</v>
      </c>
      <c r="R166" s="262">
        <f t="shared" ref="R166:R172" si="71">SUMPRODUCT(I166:L166,N166:Q166)</f>
        <v>78200</v>
      </c>
      <c r="S166" s="269">
        <f t="shared" ref="S166:S172" si="72">IF(N166&gt;prisgrense,I166*prisgrense,I166*N166)</f>
        <v>0</v>
      </c>
      <c r="T166" s="269">
        <f t="shared" ref="T166:T172" si="73">IF(O166&gt;prisgrense,J166*prisgrense,J166*O166)</f>
        <v>0</v>
      </c>
      <c r="U166" s="269">
        <f t="shared" ref="U166:U172" si="74">IF(P166&gt;prisgrense,K166*prisgrense,K166*P166)</f>
        <v>0</v>
      </c>
      <c r="V166" s="269">
        <f t="shared" ref="V166:V172" si="75">IF(Q166&gt;prisgrense,L166*prisgrense,L166*Q166)</f>
        <v>78200</v>
      </c>
      <c r="W166" s="262">
        <f t="shared" ref="W166:W172" si="76">SUM(S166:V166)</f>
        <v>78200</v>
      </c>
      <c r="X166" s="55" t="s">
        <v>583</v>
      </c>
      <c r="Y166" s="55"/>
    </row>
    <row r="167" spans="1:26" ht="12.75" hidden="1" outlineLevel="2" x14ac:dyDescent="0.2">
      <c r="A167" s="251" t="s">
        <v>377</v>
      </c>
      <c r="B167" s="251" t="s">
        <v>378</v>
      </c>
      <c r="C167" s="251" t="s">
        <v>584</v>
      </c>
      <c r="D167" s="251" t="s">
        <v>586</v>
      </c>
      <c r="E167" s="252" t="s">
        <v>16</v>
      </c>
      <c r="F167" s="253" t="s">
        <v>108</v>
      </c>
      <c r="G167" s="267">
        <v>2</v>
      </c>
      <c r="H167" s="267">
        <v>5</v>
      </c>
      <c r="I167" s="259"/>
      <c r="J167" s="259"/>
      <c r="K167" s="259">
        <v>8</v>
      </c>
      <c r="L167" s="259">
        <v>17</v>
      </c>
      <c r="M167" s="260">
        <f t="shared" si="45"/>
        <v>25</v>
      </c>
      <c r="N167" s="255"/>
      <c r="O167" s="255"/>
      <c r="P167" s="255">
        <v>3400</v>
      </c>
      <c r="Q167" s="255">
        <v>3400</v>
      </c>
      <c r="R167" s="262">
        <f t="shared" si="71"/>
        <v>85000</v>
      </c>
      <c r="S167" s="269">
        <f t="shared" si="72"/>
        <v>0</v>
      </c>
      <c r="T167" s="269">
        <f t="shared" si="73"/>
        <v>0</v>
      </c>
      <c r="U167" s="269">
        <f t="shared" si="74"/>
        <v>27200</v>
      </c>
      <c r="V167" s="269">
        <f t="shared" si="75"/>
        <v>57800</v>
      </c>
      <c r="W167" s="262">
        <f t="shared" si="76"/>
        <v>85000</v>
      </c>
      <c r="X167" s="55" t="s">
        <v>583</v>
      </c>
      <c r="Y167" s="55"/>
    </row>
    <row r="168" spans="1:26" ht="12.75" hidden="1" outlineLevel="2" x14ac:dyDescent="0.2">
      <c r="A168" s="251" t="s">
        <v>377</v>
      </c>
      <c r="B168" s="251" t="s">
        <v>378</v>
      </c>
      <c r="C168" s="251" t="s">
        <v>584</v>
      </c>
      <c r="D168" s="251" t="s">
        <v>587</v>
      </c>
      <c r="E168" s="252" t="s">
        <v>16</v>
      </c>
      <c r="F168" s="253" t="s">
        <v>108</v>
      </c>
      <c r="G168" s="267">
        <v>2</v>
      </c>
      <c r="H168" s="267">
        <v>5</v>
      </c>
      <c r="I168" s="259"/>
      <c r="J168" s="259"/>
      <c r="K168" s="259">
        <v>20</v>
      </c>
      <c r="L168" s="259">
        <v>153</v>
      </c>
      <c r="M168" s="260">
        <f t="shared" si="45"/>
        <v>173</v>
      </c>
      <c r="N168" s="255"/>
      <c r="O168" s="255"/>
      <c r="P168" s="255">
        <v>3400</v>
      </c>
      <c r="Q168" s="255">
        <v>3400</v>
      </c>
      <c r="R168" s="262">
        <f t="shared" si="71"/>
        <v>588200</v>
      </c>
      <c r="S168" s="269">
        <f t="shared" si="72"/>
        <v>0</v>
      </c>
      <c r="T168" s="269">
        <f t="shared" si="73"/>
        <v>0</v>
      </c>
      <c r="U168" s="269">
        <f t="shared" si="74"/>
        <v>68000</v>
      </c>
      <c r="V168" s="269">
        <f t="shared" si="75"/>
        <v>520200</v>
      </c>
      <c r="W168" s="262">
        <f t="shared" si="76"/>
        <v>588200</v>
      </c>
      <c r="X168" s="55" t="s">
        <v>583</v>
      </c>
      <c r="Y168" s="55"/>
    </row>
    <row r="169" spans="1:26" ht="12.75" hidden="1" outlineLevel="2" x14ac:dyDescent="0.2">
      <c r="A169" s="251" t="s">
        <v>377</v>
      </c>
      <c r="B169" s="251" t="s">
        <v>378</v>
      </c>
      <c r="C169" s="251" t="s">
        <v>584</v>
      </c>
      <c r="D169" s="251" t="s">
        <v>588</v>
      </c>
      <c r="E169" s="252" t="s">
        <v>17</v>
      </c>
      <c r="F169" s="253" t="s">
        <v>290</v>
      </c>
      <c r="G169" s="267">
        <v>2</v>
      </c>
      <c r="H169" s="267">
        <v>5</v>
      </c>
      <c r="I169" s="259"/>
      <c r="J169" s="259"/>
      <c r="K169" s="259">
        <v>6</v>
      </c>
      <c r="L169" s="259">
        <v>41</v>
      </c>
      <c r="M169" s="260">
        <f t="shared" si="45"/>
        <v>47</v>
      </c>
      <c r="N169" s="255"/>
      <c r="O169" s="255"/>
      <c r="P169" s="255">
        <v>3400</v>
      </c>
      <c r="Q169" s="255">
        <v>3400</v>
      </c>
      <c r="R169" s="262">
        <f t="shared" si="71"/>
        <v>159800</v>
      </c>
      <c r="S169" s="269">
        <f t="shared" si="72"/>
        <v>0</v>
      </c>
      <c r="T169" s="269">
        <f t="shared" si="73"/>
        <v>0</v>
      </c>
      <c r="U169" s="269">
        <f t="shared" si="74"/>
        <v>20400</v>
      </c>
      <c r="V169" s="269">
        <f t="shared" si="75"/>
        <v>139400</v>
      </c>
      <c r="W169" s="262">
        <f t="shared" si="76"/>
        <v>159800</v>
      </c>
      <c r="X169" s="55" t="s">
        <v>583</v>
      </c>
      <c r="Y169" s="55"/>
    </row>
    <row r="170" spans="1:26" ht="12.75" hidden="1" outlineLevel="2" x14ac:dyDescent="0.2">
      <c r="A170" s="251" t="s">
        <v>377</v>
      </c>
      <c r="B170" s="251" t="s">
        <v>378</v>
      </c>
      <c r="C170" s="251" t="s">
        <v>584</v>
      </c>
      <c r="D170" s="251" t="s">
        <v>589</v>
      </c>
      <c r="E170" s="252" t="s">
        <v>17</v>
      </c>
      <c r="F170" s="253" t="s">
        <v>290</v>
      </c>
      <c r="G170" s="267">
        <v>2</v>
      </c>
      <c r="H170" s="267">
        <v>5</v>
      </c>
      <c r="I170" s="259"/>
      <c r="J170" s="259"/>
      <c r="K170" s="259"/>
      <c r="L170" s="259">
        <v>19</v>
      </c>
      <c r="M170" s="260">
        <f t="shared" si="45"/>
        <v>19</v>
      </c>
      <c r="N170" s="255"/>
      <c r="O170" s="255"/>
      <c r="P170" s="255">
        <v>3400</v>
      </c>
      <c r="Q170" s="255">
        <v>3400</v>
      </c>
      <c r="R170" s="262">
        <f t="shared" si="71"/>
        <v>64600</v>
      </c>
      <c r="S170" s="269">
        <f t="shared" si="72"/>
        <v>0</v>
      </c>
      <c r="T170" s="269">
        <f t="shared" si="73"/>
        <v>0</v>
      </c>
      <c r="U170" s="269">
        <f t="shared" si="74"/>
        <v>0</v>
      </c>
      <c r="V170" s="269">
        <f t="shared" si="75"/>
        <v>64600</v>
      </c>
      <c r="W170" s="262">
        <f t="shared" si="76"/>
        <v>64600</v>
      </c>
      <c r="X170" s="55" t="s">
        <v>583</v>
      </c>
      <c r="Y170" s="55"/>
    </row>
    <row r="171" spans="1:26" ht="12.75" hidden="1" outlineLevel="2" x14ac:dyDescent="0.2">
      <c r="A171" s="251" t="s">
        <v>377</v>
      </c>
      <c r="B171" s="251" t="s">
        <v>378</v>
      </c>
      <c r="C171" s="251" t="s">
        <v>584</v>
      </c>
      <c r="D171" s="251" t="s">
        <v>590</v>
      </c>
      <c r="E171" s="252" t="s">
        <v>37</v>
      </c>
      <c r="F171" s="253" t="s">
        <v>290</v>
      </c>
      <c r="G171" s="267">
        <v>2</v>
      </c>
      <c r="H171" s="267">
        <v>5</v>
      </c>
      <c r="I171" s="259"/>
      <c r="J171" s="259"/>
      <c r="K171" s="259">
        <v>3</v>
      </c>
      <c r="L171" s="259">
        <v>27</v>
      </c>
      <c r="M171" s="260">
        <f t="shared" si="45"/>
        <v>30</v>
      </c>
      <c r="N171" s="255"/>
      <c r="O171" s="255"/>
      <c r="P171" s="255">
        <v>3400</v>
      </c>
      <c r="Q171" s="255">
        <v>3400</v>
      </c>
      <c r="R171" s="262">
        <f t="shared" si="71"/>
        <v>102000</v>
      </c>
      <c r="S171" s="269">
        <f t="shared" si="72"/>
        <v>0</v>
      </c>
      <c r="T171" s="269">
        <f t="shared" si="73"/>
        <v>0</v>
      </c>
      <c r="U171" s="269">
        <f t="shared" si="74"/>
        <v>10200</v>
      </c>
      <c r="V171" s="269">
        <f t="shared" si="75"/>
        <v>91800</v>
      </c>
      <c r="W171" s="262">
        <f t="shared" si="76"/>
        <v>102000</v>
      </c>
      <c r="X171" s="55" t="s">
        <v>583</v>
      </c>
      <c r="Y171" s="55"/>
    </row>
    <row r="172" spans="1:26" ht="12.75" hidden="1" outlineLevel="2" x14ac:dyDescent="0.2">
      <c r="A172" s="251" t="s">
        <v>377</v>
      </c>
      <c r="B172" s="251" t="s">
        <v>378</v>
      </c>
      <c r="C172" s="251" t="s">
        <v>584</v>
      </c>
      <c r="D172" s="251" t="s">
        <v>591</v>
      </c>
      <c r="E172" s="252" t="s">
        <v>16</v>
      </c>
      <c r="F172" s="253" t="s">
        <v>106</v>
      </c>
      <c r="G172" s="267">
        <v>2</v>
      </c>
      <c r="H172" s="267">
        <v>5</v>
      </c>
      <c r="I172" s="259"/>
      <c r="J172" s="259"/>
      <c r="K172" s="259">
        <v>5</v>
      </c>
      <c r="L172" s="259">
        <v>109</v>
      </c>
      <c r="M172" s="260">
        <f t="shared" si="45"/>
        <v>114</v>
      </c>
      <c r="N172" s="255"/>
      <c r="O172" s="255"/>
      <c r="P172" s="255">
        <v>3400</v>
      </c>
      <c r="Q172" s="255">
        <v>3400</v>
      </c>
      <c r="R172" s="262">
        <f t="shared" si="71"/>
        <v>387600</v>
      </c>
      <c r="S172" s="269">
        <f t="shared" si="72"/>
        <v>0</v>
      </c>
      <c r="T172" s="269">
        <f t="shared" si="73"/>
        <v>0</v>
      </c>
      <c r="U172" s="269">
        <f t="shared" si="74"/>
        <v>17000</v>
      </c>
      <c r="V172" s="269">
        <f t="shared" si="75"/>
        <v>370600</v>
      </c>
      <c r="W172" s="262">
        <f t="shared" si="76"/>
        <v>387600</v>
      </c>
      <c r="X172" s="55" t="s">
        <v>583</v>
      </c>
      <c r="Y172" s="55"/>
    </row>
    <row r="173" spans="1:26" ht="12.75" hidden="1" outlineLevel="2" x14ac:dyDescent="0.2">
      <c r="A173" s="251" t="s">
        <v>377</v>
      </c>
      <c r="B173" s="251" t="s">
        <v>378</v>
      </c>
      <c r="C173" s="251" t="s">
        <v>330</v>
      </c>
      <c r="D173" s="251" t="s">
        <v>331</v>
      </c>
      <c r="E173" s="252" t="s">
        <v>16</v>
      </c>
      <c r="F173" s="253" t="s">
        <v>561</v>
      </c>
      <c r="G173" s="267">
        <v>2</v>
      </c>
      <c r="H173" s="267">
        <v>5</v>
      </c>
      <c r="I173" s="259">
        <v>4</v>
      </c>
      <c r="J173" s="259">
        <v>5</v>
      </c>
      <c r="K173" s="259">
        <v>5</v>
      </c>
      <c r="L173" s="259">
        <v>7</v>
      </c>
      <c r="M173" s="260">
        <f t="shared" si="45"/>
        <v>21</v>
      </c>
      <c r="N173" s="255">
        <v>3400</v>
      </c>
      <c r="O173" s="255">
        <v>3400</v>
      </c>
      <c r="P173" s="255">
        <v>3400</v>
      </c>
      <c r="Q173" s="255">
        <v>3400</v>
      </c>
      <c r="R173" s="262">
        <f t="shared" si="59"/>
        <v>71400</v>
      </c>
      <c r="S173" s="269">
        <f t="shared" si="60"/>
        <v>13600</v>
      </c>
      <c r="T173" s="269">
        <f t="shared" si="61"/>
        <v>17000</v>
      </c>
      <c r="U173" s="269">
        <f t="shared" si="62"/>
        <v>17000</v>
      </c>
      <c r="V173" s="269">
        <f t="shared" si="63"/>
        <v>23800</v>
      </c>
      <c r="W173" s="262">
        <f t="shared" si="6"/>
        <v>71400</v>
      </c>
      <c r="X173" s="55"/>
      <c r="Y173" s="55"/>
      <c r="Z173" s="31">
        <v>76</v>
      </c>
    </row>
    <row r="174" spans="1:26" ht="12.75" hidden="1" outlineLevel="2" x14ac:dyDescent="0.2">
      <c r="A174" s="251" t="s">
        <v>377</v>
      </c>
      <c r="B174" s="251" t="s">
        <v>378</v>
      </c>
      <c r="C174" s="251">
        <v>701</v>
      </c>
      <c r="D174" s="251" t="s">
        <v>192</v>
      </c>
      <c r="E174" s="252" t="s">
        <v>291</v>
      </c>
      <c r="F174" s="253" t="s">
        <v>108</v>
      </c>
      <c r="G174" s="267">
        <v>2</v>
      </c>
      <c r="H174" s="267">
        <v>5</v>
      </c>
      <c r="I174" s="259">
        <v>18</v>
      </c>
      <c r="J174" s="259">
        <v>32</v>
      </c>
      <c r="K174" s="259">
        <v>14</v>
      </c>
      <c r="L174" s="259">
        <v>6</v>
      </c>
      <c r="M174" s="260">
        <f t="shared" si="45"/>
        <v>70</v>
      </c>
      <c r="N174" s="255">
        <v>3400</v>
      </c>
      <c r="O174" s="255">
        <v>3400</v>
      </c>
      <c r="P174" s="255">
        <v>3400</v>
      </c>
      <c r="Q174" s="255">
        <v>3400</v>
      </c>
      <c r="R174" s="262">
        <f t="shared" si="59"/>
        <v>238000</v>
      </c>
      <c r="S174" s="269">
        <f t="shared" si="60"/>
        <v>61200</v>
      </c>
      <c r="T174" s="269">
        <f t="shared" si="61"/>
        <v>108800</v>
      </c>
      <c r="U174" s="269">
        <f t="shared" si="62"/>
        <v>47600</v>
      </c>
      <c r="V174" s="269">
        <f t="shared" si="63"/>
        <v>20400</v>
      </c>
      <c r="W174" s="262">
        <f t="shared" si="6"/>
        <v>238000</v>
      </c>
      <c r="X174" s="55"/>
      <c r="Y174" s="55"/>
      <c r="Z174" s="31">
        <v>76</v>
      </c>
    </row>
    <row r="175" spans="1:26" ht="12.75" hidden="1" outlineLevel="2" x14ac:dyDescent="0.2">
      <c r="A175" s="251" t="s">
        <v>377</v>
      </c>
      <c r="B175" s="251" t="s">
        <v>378</v>
      </c>
      <c r="C175" s="251">
        <v>701</v>
      </c>
      <c r="D175" s="251" t="s">
        <v>332</v>
      </c>
      <c r="E175" s="252" t="s">
        <v>16</v>
      </c>
      <c r="F175" s="253" t="s">
        <v>108</v>
      </c>
      <c r="G175" s="267">
        <v>2</v>
      </c>
      <c r="H175" s="267">
        <v>5</v>
      </c>
      <c r="I175" s="259">
        <v>142</v>
      </c>
      <c r="J175" s="259">
        <v>212</v>
      </c>
      <c r="K175" s="259">
        <v>119</v>
      </c>
      <c r="L175" s="259">
        <v>61</v>
      </c>
      <c r="M175" s="260">
        <f t="shared" si="45"/>
        <v>534</v>
      </c>
      <c r="N175" s="255">
        <v>3400</v>
      </c>
      <c r="O175" s="255">
        <v>3400</v>
      </c>
      <c r="P175" s="255">
        <v>3400</v>
      </c>
      <c r="Q175" s="255">
        <v>3400</v>
      </c>
      <c r="R175" s="262">
        <f t="shared" si="59"/>
        <v>1815600</v>
      </c>
      <c r="S175" s="269">
        <f t="shared" si="60"/>
        <v>482800</v>
      </c>
      <c r="T175" s="269">
        <f t="shared" si="61"/>
        <v>720800</v>
      </c>
      <c r="U175" s="269">
        <f t="shared" si="62"/>
        <v>404600</v>
      </c>
      <c r="V175" s="269">
        <f t="shared" si="63"/>
        <v>207400</v>
      </c>
      <c r="W175" s="262">
        <f t="shared" si="6"/>
        <v>1815600</v>
      </c>
      <c r="X175" s="55"/>
      <c r="Y175" s="55"/>
      <c r="Z175" s="31">
        <v>76</v>
      </c>
    </row>
    <row r="176" spans="1:26" ht="12.75" hidden="1" outlineLevel="2" x14ac:dyDescent="0.2">
      <c r="A176" s="251" t="s">
        <v>377</v>
      </c>
      <c r="B176" s="251" t="s">
        <v>378</v>
      </c>
      <c r="C176" s="251">
        <v>701</v>
      </c>
      <c r="D176" s="251" t="s">
        <v>333</v>
      </c>
      <c r="E176" s="252" t="s">
        <v>17</v>
      </c>
      <c r="F176" s="253" t="s">
        <v>290</v>
      </c>
      <c r="G176" s="267">
        <v>2</v>
      </c>
      <c r="H176" s="267">
        <v>5</v>
      </c>
      <c r="I176" s="259">
        <v>5</v>
      </c>
      <c r="J176" s="259">
        <v>0</v>
      </c>
      <c r="K176" s="259">
        <v>6</v>
      </c>
      <c r="L176" s="259"/>
      <c r="M176" s="260">
        <f t="shared" si="45"/>
        <v>11</v>
      </c>
      <c r="N176" s="255">
        <v>3400</v>
      </c>
      <c r="O176" s="255">
        <v>3400</v>
      </c>
      <c r="P176" s="255">
        <v>3400</v>
      </c>
      <c r="Q176" s="255">
        <v>3400</v>
      </c>
      <c r="R176" s="262">
        <f t="shared" si="59"/>
        <v>37400</v>
      </c>
      <c r="S176" s="269">
        <f t="shared" si="60"/>
        <v>17000</v>
      </c>
      <c r="T176" s="269">
        <f t="shared" si="61"/>
        <v>0</v>
      </c>
      <c r="U176" s="269">
        <f t="shared" si="62"/>
        <v>20400</v>
      </c>
      <c r="V176" s="269">
        <f t="shared" si="63"/>
        <v>0</v>
      </c>
      <c r="W176" s="262">
        <f t="shared" si="6"/>
        <v>37400</v>
      </c>
      <c r="X176" s="55"/>
      <c r="Y176" s="55"/>
      <c r="Z176" s="31">
        <v>76</v>
      </c>
    </row>
    <row r="177" spans="1:26" ht="12.75" hidden="1" outlineLevel="2" x14ac:dyDescent="0.2">
      <c r="A177" s="251" t="s">
        <v>377</v>
      </c>
      <c r="B177" s="251" t="s">
        <v>378</v>
      </c>
      <c r="C177" s="251">
        <v>701</v>
      </c>
      <c r="D177" s="251" t="s">
        <v>334</v>
      </c>
      <c r="E177" s="252" t="s">
        <v>37</v>
      </c>
      <c r="F177" s="253" t="s">
        <v>290</v>
      </c>
      <c r="G177" s="267">
        <v>2</v>
      </c>
      <c r="H177" s="267">
        <v>5</v>
      </c>
      <c r="I177" s="259">
        <v>11</v>
      </c>
      <c r="J177" s="259">
        <v>0</v>
      </c>
      <c r="K177" s="259">
        <v>3</v>
      </c>
      <c r="L177" s="259"/>
      <c r="M177" s="260">
        <f t="shared" si="45"/>
        <v>14</v>
      </c>
      <c r="N177" s="255">
        <v>3400</v>
      </c>
      <c r="O177" s="255">
        <v>3400</v>
      </c>
      <c r="P177" s="255">
        <v>3400</v>
      </c>
      <c r="Q177" s="255">
        <v>3400</v>
      </c>
      <c r="R177" s="262">
        <f t="shared" si="59"/>
        <v>47600</v>
      </c>
      <c r="S177" s="269">
        <f t="shared" si="60"/>
        <v>37400</v>
      </c>
      <c r="T177" s="269">
        <f t="shared" si="61"/>
        <v>0</v>
      </c>
      <c r="U177" s="269">
        <f t="shared" si="62"/>
        <v>10200</v>
      </c>
      <c r="V177" s="269">
        <f t="shared" si="63"/>
        <v>0</v>
      </c>
      <c r="W177" s="262">
        <f t="shared" si="6"/>
        <v>47600</v>
      </c>
      <c r="X177" s="55"/>
      <c r="Y177" s="55"/>
      <c r="Z177" s="31">
        <v>76</v>
      </c>
    </row>
    <row r="178" spans="1:26" ht="12.75" hidden="1" outlineLevel="2" x14ac:dyDescent="0.2">
      <c r="A178" s="251" t="s">
        <v>377</v>
      </c>
      <c r="B178" s="251" t="s">
        <v>378</v>
      </c>
      <c r="C178" s="251">
        <v>701</v>
      </c>
      <c r="D178" s="251" t="s">
        <v>335</v>
      </c>
      <c r="E178" s="252" t="s">
        <v>16</v>
      </c>
      <c r="F178" s="253" t="s">
        <v>106</v>
      </c>
      <c r="G178" s="267">
        <v>2</v>
      </c>
      <c r="H178" s="267">
        <v>5</v>
      </c>
      <c r="I178" s="259">
        <v>528</v>
      </c>
      <c r="J178" s="259">
        <v>378</v>
      </c>
      <c r="K178" s="259">
        <v>191</v>
      </c>
      <c r="L178" s="259">
        <v>152</v>
      </c>
      <c r="M178" s="260">
        <f t="shared" si="45"/>
        <v>1249</v>
      </c>
      <c r="N178" s="255">
        <v>3400</v>
      </c>
      <c r="O178" s="255">
        <v>3400</v>
      </c>
      <c r="P178" s="255">
        <v>3400</v>
      </c>
      <c r="Q178" s="255">
        <v>3400</v>
      </c>
      <c r="R178" s="262">
        <f t="shared" si="59"/>
        <v>4246600</v>
      </c>
      <c r="S178" s="269">
        <f t="shared" si="60"/>
        <v>1795200</v>
      </c>
      <c r="T178" s="269">
        <f t="shared" si="61"/>
        <v>1285200</v>
      </c>
      <c r="U178" s="269">
        <f t="shared" si="62"/>
        <v>649400</v>
      </c>
      <c r="V178" s="269">
        <f t="shared" si="63"/>
        <v>516800</v>
      </c>
      <c r="W178" s="262">
        <f t="shared" si="6"/>
        <v>4246600</v>
      </c>
      <c r="X178" s="55"/>
      <c r="Y178" s="55"/>
      <c r="Z178" s="31">
        <v>76</v>
      </c>
    </row>
    <row r="179" spans="1:26" ht="12.75" hidden="1" outlineLevel="2" x14ac:dyDescent="0.2">
      <c r="A179" s="251" t="s">
        <v>384</v>
      </c>
      <c r="B179" s="251" t="s">
        <v>385</v>
      </c>
      <c r="C179" s="251" t="s">
        <v>189</v>
      </c>
      <c r="D179" s="251" t="s">
        <v>336</v>
      </c>
      <c r="E179" s="252" t="s">
        <v>291</v>
      </c>
      <c r="F179" s="253" t="s">
        <v>108</v>
      </c>
      <c r="G179" s="267">
        <v>2</v>
      </c>
      <c r="H179" s="267">
        <v>6</v>
      </c>
      <c r="I179" s="259"/>
      <c r="J179" s="259">
        <v>3</v>
      </c>
      <c r="K179" s="259">
        <v>1</v>
      </c>
      <c r="L179" s="259">
        <v>7</v>
      </c>
      <c r="M179" s="260">
        <f t="shared" si="45"/>
        <v>11</v>
      </c>
      <c r="N179" s="255">
        <v>3200</v>
      </c>
      <c r="O179" s="255">
        <v>3200</v>
      </c>
      <c r="P179" s="255">
        <v>3200</v>
      </c>
      <c r="Q179" s="255">
        <v>3200</v>
      </c>
      <c r="R179" s="262">
        <f t="shared" si="59"/>
        <v>35200</v>
      </c>
      <c r="S179" s="269">
        <f t="shared" si="60"/>
        <v>0</v>
      </c>
      <c r="T179" s="269">
        <f t="shared" si="61"/>
        <v>9600</v>
      </c>
      <c r="U179" s="269">
        <f t="shared" si="62"/>
        <v>3200</v>
      </c>
      <c r="V179" s="269">
        <f t="shared" si="63"/>
        <v>22400</v>
      </c>
      <c r="W179" s="262">
        <f t="shared" si="6"/>
        <v>35200</v>
      </c>
      <c r="X179" s="55"/>
      <c r="Y179" s="55"/>
      <c r="Z179" s="31">
        <v>76</v>
      </c>
    </row>
    <row r="180" spans="1:26" ht="12.75" hidden="1" outlineLevel="2" x14ac:dyDescent="0.2">
      <c r="A180" s="251" t="s">
        <v>384</v>
      </c>
      <c r="B180" s="251" t="s">
        <v>385</v>
      </c>
      <c r="C180" s="251" t="s">
        <v>189</v>
      </c>
      <c r="D180" s="251" t="s">
        <v>337</v>
      </c>
      <c r="E180" s="252" t="s">
        <v>16</v>
      </c>
      <c r="F180" s="253" t="s">
        <v>108</v>
      </c>
      <c r="G180" s="267">
        <v>2</v>
      </c>
      <c r="H180" s="267">
        <v>6</v>
      </c>
      <c r="I180" s="259"/>
      <c r="J180" s="259">
        <v>12</v>
      </c>
      <c r="K180" s="259">
        <v>13</v>
      </c>
      <c r="L180" s="259">
        <v>30</v>
      </c>
      <c r="M180" s="260">
        <f t="shared" si="45"/>
        <v>55</v>
      </c>
      <c r="N180" s="255">
        <v>3200</v>
      </c>
      <c r="O180" s="255">
        <v>3200</v>
      </c>
      <c r="P180" s="255">
        <v>3200</v>
      </c>
      <c r="Q180" s="255">
        <v>3200</v>
      </c>
      <c r="R180" s="262">
        <f t="shared" si="59"/>
        <v>176000</v>
      </c>
      <c r="S180" s="269">
        <f t="shared" si="60"/>
        <v>0</v>
      </c>
      <c r="T180" s="269">
        <f t="shared" si="61"/>
        <v>38400</v>
      </c>
      <c r="U180" s="269">
        <f t="shared" si="62"/>
        <v>41600</v>
      </c>
      <c r="V180" s="269">
        <f t="shared" si="63"/>
        <v>96000</v>
      </c>
      <c r="W180" s="262">
        <f t="shared" si="6"/>
        <v>176000</v>
      </c>
      <c r="X180" s="55"/>
      <c r="Y180" s="55"/>
      <c r="Z180" s="31">
        <v>76</v>
      </c>
    </row>
    <row r="181" spans="1:26" ht="12.75" hidden="1" outlineLevel="2" x14ac:dyDescent="0.2">
      <c r="A181" s="251" t="s">
        <v>384</v>
      </c>
      <c r="B181" s="251" t="s">
        <v>385</v>
      </c>
      <c r="C181" s="251" t="s">
        <v>189</v>
      </c>
      <c r="D181" s="251" t="s">
        <v>338</v>
      </c>
      <c r="E181" s="252" t="s">
        <v>16</v>
      </c>
      <c r="F181" s="253" t="s">
        <v>106</v>
      </c>
      <c r="G181" s="267">
        <v>2</v>
      </c>
      <c r="H181" s="267">
        <v>6</v>
      </c>
      <c r="I181" s="259"/>
      <c r="J181" s="259"/>
      <c r="K181" s="259">
        <v>2</v>
      </c>
      <c r="L181" s="259"/>
      <c r="M181" s="260">
        <f t="shared" si="45"/>
        <v>2</v>
      </c>
      <c r="N181" s="255">
        <v>3200</v>
      </c>
      <c r="O181" s="255">
        <v>3200</v>
      </c>
      <c r="P181" s="255">
        <v>3200</v>
      </c>
      <c r="Q181" s="255">
        <v>3200</v>
      </c>
      <c r="R181" s="262">
        <f t="shared" si="59"/>
        <v>6400</v>
      </c>
      <c r="S181" s="269">
        <f t="shared" si="60"/>
        <v>0</v>
      </c>
      <c r="T181" s="269">
        <f t="shared" si="61"/>
        <v>0</v>
      </c>
      <c r="U181" s="269">
        <f t="shared" si="62"/>
        <v>6400</v>
      </c>
      <c r="V181" s="269">
        <f t="shared" si="63"/>
        <v>0</v>
      </c>
      <c r="W181" s="262">
        <f t="shared" si="6"/>
        <v>6400</v>
      </c>
      <c r="X181" s="55"/>
      <c r="Y181" s="55"/>
      <c r="Z181" s="31">
        <v>76</v>
      </c>
    </row>
    <row r="182" spans="1:26" ht="12.75" hidden="1" outlineLevel="2" x14ac:dyDescent="0.2">
      <c r="A182" s="251" t="s">
        <v>384</v>
      </c>
      <c r="B182" s="251" t="s">
        <v>385</v>
      </c>
      <c r="C182" s="251" t="s">
        <v>189</v>
      </c>
      <c r="D182" s="251" t="s">
        <v>188</v>
      </c>
      <c r="E182" s="252" t="s">
        <v>17</v>
      </c>
      <c r="F182" s="253" t="s">
        <v>290</v>
      </c>
      <c r="G182" s="267">
        <v>2</v>
      </c>
      <c r="H182" s="267">
        <v>6</v>
      </c>
      <c r="I182" s="259">
        <v>19</v>
      </c>
      <c r="J182" s="259">
        <v>15</v>
      </c>
      <c r="K182" s="259">
        <v>15</v>
      </c>
      <c r="L182" s="259">
        <v>15</v>
      </c>
      <c r="M182" s="260">
        <f t="shared" si="45"/>
        <v>64</v>
      </c>
      <c r="N182" s="255">
        <v>3200</v>
      </c>
      <c r="O182" s="255">
        <v>3200</v>
      </c>
      <c r="P182" s="255">
        <v>3200</v>
      </c>
      <c r="Q182" s="255">
        <v>3200</v>
      </c>
      <c r="R182" s="262">
        <f t="shared" si="59"/>
        <v>204800</v>
      </c>
      <c r="S182" s="269">
        <f t="shared" si="60"/>
        <v>60800</v>
      </c>
      <c r="T182" s="269">
        <f t="shared" si="61"/>
        <v>48000</v>
      </c>
      <c r="U182" s="269">
        <f t="shared" si="62"/>
        <v>48000</v>
      </c>
      <c r="V182" s="269">
        <f t="shared" si="63"/>
        <v>48000</v>
      </c>
      <c r="W182" s="262">
        <f t="shared" si="6"/>
        <v>204800</v>
      </c>
      <c r="X182" s="55"/>
      <c r="Y182" s="55"/>
      <c r="Z182" s="31">
        <v>76</v>
      </c>
    </row>
    <row r="183" spans="1:26" ht="12.75" hidden="1" outlineLevel="2" x14ac:dyDescent="0.2">
      <c r="A183" s="251" t="s">
        <v>384</v>
      </c>
      <c r="B183" s="251" t="s">
        <v>385</v>
      </c>
      <c r="C183" s="251" t="s">
        <v>189</v>
      </c>
      <c r="D183" s="251" t="s">
        <v>339</v>
      </c>
      <c r="E183" s="252" t="s">
        <v>37</v>
      </c>
      <c r="F183" s="253" t="s">
        <v>290</v>
      </c>
      <c r="G183" s="267">
        <v>2</v>
      </c>
      <c r="H183" s="267">
        <v>6</v>
      </c>
      <c r="I183" s="259"/>
      <c r="J183" s="259">
        <v>2</v>
      </c>
      <c r="K183" s="259">
        <v>3</v>
      </c>
      <c r="L183" s="259">
        <v>3</v>
      </c>
      <c r="M183" s="260">
        <f t="shared" si="45"/>
        <v>8</v>
      </c>
      <c r="N183" s="255">
        <v>3200</v>
      </c>
      <c r="O183" s="255">
        <v>3200</v>
      </c>
      <c r="P183" s="255">
        <v>3200</v>
      </c>
      <c r="Q183" s="255">
        <v>3200</v>
      </c>
      <c r="R183" s="262">
        <f t="shared" si="59"/>
        <v>25600</v>
      </c>
      <c r="S183" s="269">
        <f t="shared" si="60"/>
        <v>0</v>
      </c>
      <c r="T183" s="269">
        <f t="shared" si="61"/>
        <v>6400</v>
      </c>
      <c r="U183" s="269">
        <f t="shared" si="62"/>
        <v>9600</v>
      </c>
      <c r="V183" s="269">
        <f t="shared" si="63"/>
        <v>9600</v>
      </c>
      <c r="W183" s="262">
        <f t="shared" si="6"/>
        <v>25600</v>
      </c>
      <c r="X183" s="55"/>
      <c r="Y183" s="55"/>
      <c r="Z183" s="31">
        <v>76</v>
      </c>
    </row>
    <row r="184" spans="1:26" ht="12.75" hidden="1" outlineLevel="2" x14ac:dyDescent="0.2">
      <c r="A184" s="251" t="s">
        <v>384</v>
      </c>
      <c r="B184" s="251" t="s">
        <v>385</v>
      </c>
      <c r="C184" s="251" t="s">
        <v>189</v>
      </c>
      <c r="D184" s="251" t="s">
        <v>340</v>
      </c>
      <c r="E184" s="252" t="s">
        <v>37</v>
      </c>
      <c r="F184" s="253" t="s">
        <v>290</v>
      </c>
      <c r="G184" s="267">
        <v>2</v>
      </c>
      <c r="H184" s="267">
        <v>6</v>
      </c>
      <c r="I184" s="259">
        <v>1</v>
      </c>
      <c r="J184" s="259">
        <v>3</v>
      </c>
      <c r="K184" s="259">
        <v>4</v>
      </c>
      <c r="L184" s="259">
        <v>3</v>
      </c>
      <c r="M184" s="260">
        <f t="shared" si="45"/>
        <v>11</v>
      </c>
      <c r="N184" s="255">
        <v>3200</v>
      </c>
      <c r="O184" s="255">
        <v>3200</v>
      </c>
      <c r="P184" s="255">
        <v>3200</v>
      </c>
      <c r="Q184" s="255">
        <v>3200</v>
      </c>
      <c r="R184" s="262">
        <f t="shared" si="59"/>
        <v>35200</v>
      </c>
      <c r="S184" s="269">
        <f t="shared" si="60"/>
        <v>3200</v>
      </c>
      <c r="T184" s="269">
        <f t="shared" si="61"/>
        <v>9600</v>
      </c>
      <c r="U184" s="269">
        <f t="shared" si="62"/>
        <v>12800</v>
      </c>
      <c r="V184" s="269">
        <f t="shared" si="63"/>
        <v>9600</v>
      </c>
      <c r="W184" s="262">
        <f t="shared" si="6"/>
        <v>35200</v>
      </c>
      <c r="X184" s="55"/>
      <c r="Y184" s="55"/>
      <c r="Z184" s="31">
        <v>76</v>
      </c>
    </row>
    <row r="185" spans="1:26" ht="12.75" hidden="1" outlineLevel="2" x14ac:dyDescent="0.2">
      <c r="A185" s="251" t="s">
        <v>386</v>
      </c>
      <c r="B185" s="251" t="s">
        <v>387</v>
      </c>
      <c r="C185" s="251" t="s">
        <v>257</v>
      </c>
      <c r="D185" s="251" t="s">
        <v>258</v>
      </c>
      <c r="E185" s="252" t="s">
        <v>16</v>
      </c>
      <c r="F185" s="253" t="s">
        <v>561</v>
      </c>
      <c r="G185" s="267">
        <v>2</v>
      </c>
      <c r="H185" s="267">
        <v>7</v>
      </c>
      <c r="I185" s="259"/>
      <c r="J185" s="259"/>
      <c r="K185" s="259"/>
      <c r="L185" s="259"/>
      <c r="M185" s="260">
        <f t="shared" si="45"/>
        <v>0</v>
      </c>
      <c r="N185" s="255">
        <v>2490</v>
      </c>
      <c r="O185" s="255">
        <v>2490</v>
      </c>
      <c r="P185" s="255">
        <v>2490</v>
      </c>
      <c r="Q185" s="255">
        <v>2490</v>
      </c>
      <c r="R185" s="262">
        <f t="shared" si="59"/>
        <v>0</v>
      </c>
      <c r="S185" s="269">
        <f t="shared" si="60"/>
        <v>0</v>
      </c>
      <c r="T185" s="269">
        <f t="shared" si="61"/>
        <v>0</v>
      </c>
      <c r="U185" s="269">
        <f t="shared" si="62"/>
        <v>0</v>
      </c>
      <c r="V185" s="269">
        <f t="shared" si="63"/>
        <v>0</v>
      </c>
      <c r="W185" s="262">
        <f t="shared" si="6"/>
        <v>0</v>
      </c>
      <c r="X185" s="55"/>
      <c r="Y185" s="55"/>
      <c r="Z185" s="31">
        <v>76</v>
      </c>
    </row>
    <row r="186" spans="1:26" ht="12.75" hidden="1" outlineLevel="2" x14ac:dyDescent="0.2">
      <c r="A186" s="251" t="s">
        <v>386</v>
      </c>
      <c r="B186" s="251" t="s">
        <v>387</v>
      </c>
      <c r="C186" s="251" t="s">
        <v>257</v>
      </c>
      <c r="D186" s="251" t="s">
        <v>341</v>
      </c>
      <c r="E186" s="252" t="s">
        <v>16</v>
      </c>
      <c r="F186" s="253" t="s">
        <v>108</v>
      </c>
      <c r="G186" s="267">
        <v>2</v>
      </c>
      <c r="H186" s="267">
        <v>7</v>
      </c>
      <c r="I186" s="259"/>
      <c r="J186" s="259"/>
      <c r="K186" s="259"/>
      <c r="L186" s="259"/>
      <c r="M186" s="260">
        <f t="shared" si="45"/>
        <v>0</v>
      </c>
      <c r="N186" s="255">
        <v>2490</v>
      </c>
      <c r="O186" s="255">
        <v>2490</v>
      </c>
      <c r="P186" s="255">
        <v>2520</v>
      </c>
      <c r="Q186" s="255">
        <v>2520</v>
      </c>
      <c r="R186" s="262">
        <f t="shared" si="59"/>
        <v>0</v>
      </c>
      <c r="S186" s="269">
        <f t="shared" si="60"/>
        <v>0</v>
      </c>
      <c r="T186" s="269">
        <f t="shared" si="61"/>
        <v>0</v>
      </c>
      <c r="U186" s="269">
        <f t="shared" si="62"/>
        <v>0</v>
      </c>
      <c r="V186" s="269">
        <f t="shared" si="63"/>
        <v>0</v>
      </c>
      <c r="W186" s="262">
        <f t="shared" si="6"/>
        <v>0</v>
      </c>
      <c r="X186" s="55"/>
      <c r="Y186" s="55"/>
      <c r="Z186" s="31">
        <v>76</v>
      </c>
    </row>
    <row r="187" spans="1:26" ht="12.75" hidden="1" outlineLevel="2" x14ac:dyDescent="0.2">
      <c r="A187" s="251" t="s">
        <v>386</v>
      </c>
      <c r="B187" s="251" t="s">
        <v>387</v>
      </c>
      <c r="C187" s="251" t="s">
        <v>257</v>
      </c>
      <c r="D187" s="251" t="s">
        <v>260</v>
      </c>
      <c r="E187" s="252" t="s">
        <v>16</v>
      </c>
      <c r="F187" s="253" t="s">
        <v>106</v>
      </c>
      <c r="G187" s="267">
        <v>2</v>
      </c>
      <c r="H187" s="267">
        <v>7</v>
      </c>
      <c r="I187" s="259"/>
      <c r="J187" s="259"/>
      <c r="K187" s="259"/>
      <c r="L187" s="259"/>
      <c r="M187" s="260">
        <f t="shared" si="45"/>
        <v>0</v>
      </c>
      <c r="N187" s="255">
        <v>2490</v>
      </c>
      <c r="O187" s="255">
        <v>2490</v>
      </c>
      <c r="P187" s="255">
        <v>2520</v>
      </c>
      <c r="Q187" s="255">
        <v>2520</v>
      </c>
      <c r="R187" s="262">
        <f t="shared" ref="R187:R218" si="77">SUMPRODUCT(I187:L187,N187:Q187)</f>
        <v>0</v>
      </c>
      <c r="S187" s="269">
        <f t="shared" ref="S187:S218" si="78">IF(N187&gt;prisgrense,I187*prisgrense,I187*N187)</f>
        <v>0</v>
      </c>
      <c r="T187" s="269">
        <f t="shared" ref="T187:T218" si="79">IF(O187&gt;prisgrense,J187*prisgrense,J187*O187)</f>
        <v>0</v>
      </c>
      <c r="U187" s="269">
        <f t="shared" ref="U187:U218" si="80">IF(P187&gt;prisgrense,K187*prisgrense,K187*P187)</f>
        <v>0</v>
      </c>
      <c r="V187" s="269">
        <f t="shared" ref="V187:V218" si="81">IF(Q187&gt;prisgrense,L187*prisgrense,L187*Q187)</f>
        <v>0</v>
      </c>
      <c r="W187" s="262">
        <f t="shared" si="6"/>
        <v>0</v>
      </c>
      <c r="X187" s="55"/>
      <c r="Y187" s="55"/>
      <c r="Z187" s="31">
        <v>76</v>
      </c>
    </row>
    <row r="188" spans="1:26" ht="12.75" hidden="1" outlineLevel="2" x14ac:dyDescent="0.2">
      <c r="A188" s="251" t="s">
        <v>386</v>
      </c>
      <c r="B188" s="251" t="s">
        <v>387</v>
      </c>
      <c r="C188" s="251" t="s">
        <v>257</v>
      </c>
      <c r="D188" s="251" t="s">
        <v>261</v>
      </c>
      <c r="E188" s="252" t="s">
        <v>17</v>
      </c>
      <c r="F188" s="253" t="s">
        <v>290</v>
      </c>
      <c r="G188" s="267">
        <v>2</v>
      </c>
      <c r="H188" s="267">
        <v>7</v>
      </c>
      <c r="I188" s="259"/>
      <c r="J188" s="259"/>
      <c r="K188" s="259"/>
      <c r="L188" s="259"/>
      <c r="M188" s="260">
        <f t="shared" si="45"/>
        <v>0</v>
      </c>
      <c r="N188" s="255">
        <v>2490</v>
      </c>
      <c r="O188" s="255">
        <v>2490</v>
      </c>
      <c r="P188" s="255">
        <v>2520</v>
      </c>
      <c r="Q188" s="255">
        <v>2520</v>
      </c>
      <c r="R188" s="262">
        <f t="shared" si="77"/>
        <v>0</v>
      </c>
      <c r="S188" s="269">
        <f t="shared" si="78"/>
        <v>0</v>
      </c>
      <c r="T188" s="269">
        <f t="shared" si="79"/>
        <v>0</v>
      </c>
      <c r="U188" s="269">
        <f t="shared" si="80"/>
        <v>0</v>
      </c>
      <c r="V188" s="269">
        <f t="shared" si="81"/>
        <v>0</v>
      </c>
      <c r="W188" s="262">
        <f t="shared" si="6"/>
        <v>0</v>
      </c>
      <c r="X188" s="55"/>
      <c r="Y188" s="55"/>
      <c r="Z188" s="31">
        <v>76</v>
      </c>
    </row>
    <row r="189" spans="1:26" ht="12.75" hidden="1" outlineLevel="2" x14ac:dyDescent="0.2">
      <c r="A189" s="251" t="s">
        <v>386</v>
      </c>
      <c r="B189" s="251" t="s">
        <v>387</v>
      </c>
      <c r="C189" s="251" t="s">
        <v>257</v>
      </c>
      <c r="D189" s="251" t="s">
        <v>262</v>
      </c>
      <c r="E189" s="252" t="s">
        <v>17</v>
      </c>
      <c r="F189" s="253" t="s">
        <v>290</v>
      </c>
      <c r="G189" s="267">
        <v>2</v>
      </c>
      <c r="H189" s="267">
        <v>7</v>
      </c>
      <c r="I189" s="259"/>
      <c r="J189" s="259"/>
      <c r="K189" s="259"/>
      <c r="L189" s="259"/>
      <c r="M189" s="260">
        <f t="shared" si="45"/>
        <v>0</v>
      </c>
      <c r="N189" s="255">
        <v>2490</v>
      </c>
      <c r="O189" s="255">
        <v>2490</v>
      </c>
      <c r="P189" s="255">
        <v>2520</v>
      </c>
      <c r="Q189" s="255">
        <v>2520</v>
      </c>
      <c r="R189" s="262">
        <f t="shared" si="77"/>
        <v>0</v>
      </c>
      <c r="S189" s="269">
        <f t="shared" si="78"/>
        <v>0</v>
      </c>
      <c r="T189" s="269">
        <f t="shared" si="79"/>
        <v>0</v>
      </c>
      <c r="U189" s="269">
        <f t="shared" si="80"/>
        <v>0</v>
      </c>
      <c r="V189" s="269">
        <f t="shared" si="81"/>
        <v>0</v>
      </c>
      <c r="W189" s="262">
        <f t="shared" si="6"/>
        <v>0</v>
      </c>
      <c r="X189" s="55"/>
      <c r="Y189" s="55"/>
      <c r="Z189" s="31">
        <v>76</v>
      </c>
    </row>
    <row r="190" spans="1:26" ht="12.75" hidden="1" outlineLevel="2" x14ac:dyDescent="0.2">
      <c r="A190" s="251" t="s">
        <v>384</v>
      </c>
      <c r="B190" s="251" t="s">
        <v>385</v>
      </c>
      <c r="C190" s="251" t="s">
        <v>190</v>
      </c>
      <c r="D190" s="251" t="s">
        <v>342</v>
      </c>
      <c r="E190" s="252" t="s">
        <v>291</v>
      </c>
      <c r="F190" s="253" t="s">
        <v>108</v>
      </c>
      <c r="G190" s="267">
        <v>2</v>
      </c>
      <c r="H190" s="267">
        <v>7</v>
      </c>
      <c r="I190" s="259"/>
      <c r="J190" s="259">
        <v>2</v>
      </c>
      <c r="K190" s="259"/>
      <c r="L190" s="259">
        <v>1</v>
      </c>
      <c r="M190" s="260">
        <f t="shared" si="45"/>
        <v>3</v>
      </c>
      <c r="N190" s="255">
        <v>3500</v>
      </c>
      <c r="O190" s="255">
        <v>3500</v>
      </c>
      <c r="P190" s="255">
        <v>3500</v>
      </c>
      <c r="Q190" s="255">
        <v>3500</v>
      </c>
      <c r="R190" s="262">
        <f t="shared" si="77"/>
        <v>10500</v>
      </c>
      <c r="S190" s="269">
        <f t="shared" si="78"/>
        <v>0</v>
      </c>
      <c r="T190" s="269">
        <f t="shared" si="79"/>
        <v>7000</v>
      </c>
      <c r="U190" s="269">
        <f t="shared" si="80"/>
        <v>0</v>
      </c>
      <c r="V190" s="269">
        <f t="shared" si="81"/>
        <v>3500</v>
      </c>
      <c r="W190" s="262">
        <f t="shared" si="6"/>
        <v>10500</v>
      </c>
      <c r="X190" s="55"/>
      <c r="Y190" s="55"/>
      <c r="Z190" s="31">
        <v>76</v>
      </c>
    </row>
    <row r="191" spans="1:26" ht="12.75" hidden="1" outlineLevel="2" x14ac:dyDescent="0.2">
      <c r="A191" s="251" t="s">
        <v>384</v>
      </c>
      <c r="B191" s="251" t="s">
        <v>385</v>
      </c>
      <c r="C191" s="251" t="s">
        <v>190</v>
      </c>
      <c r="D191" s="251" t="s">
        <v>343</v>
      </c>
      <c r="E191" s="252" t="s">
        <v>16</v>
      </c>
      <c r="F191" s="253" t="s">
        <v>108</v>
      </c>
      <c r="G191" s="267">
        <v>2</v>
      </c>
      <c r="H191" s="267">
        <v>7</v>
      </c>
      <c r="I191" s="259"/>
      <c r="J191" s="259">
        <v>2</v>
      </c>
      <c r="K191" s="259"/>
      <c r="L191" s="259">
        <v>1</v>
      </c>
      <c r="M191" s="260">
        <f t="shared" si="45"/>
        <v>3</v>
      </c>
      <c r="N191" s="255">
        <v>3500</v>
      </c>
      <c r="O191" s="255">
        <v>3500</v>
      </c>
      <c r="P191" s="255">
        <v>3500</v>
      </c>
      <c r="Q191" s="255">
        <v>3500</v>
      </c>
      <c r="R191" s="262">
        <f t="shared" si="77"/>
        <v>10500</v>
      </c>
      <c r="S191" s="269">
        <f t="shared" si="78"/>
        <v>0</v>
      </c>
      <c r="T191" s="269">
        <f t="shared" si="79"/>
        <v>7000</v>
      </c>
      <c r="U191" s="269">
        <f t="shared" si="80"/>
        <v>0</v>
      </c>
      <c r="V191" s="269">
        <f t="shared" si="81"/>
        <v>3500</v>
      </c>
      <c r="W191" s="262">
        <f t="shared" si="6"/>
        <v>10500</v>
      </c>
      <c r="X191" s="55"/>
      <c r="Y191" s="55"/>
      <c r="Z191" s="31">
        <v>76</v>
      </c>
    </row>
    <row r="192" spans="1:26" ht="12.75" hidden="1" outlineLevel="2" x14ac:dyDescent="0.2">
      <c r="A192" s="251" t="s">
        <v>384</v>
      </c>
      <c r="B192" s="251" t="s">
        <v>385</v>
      </c>
      <c r="C192" s="251" t="s">
        <v>190</v>
      </c>
      <c r="D192" s="251" t="s">
        <v>344</v>
      </c>
      <c r="E192" s="252" t="s">
        <v>16</v>
      </c>
      <c r="F192" s="253" t="s">
        <v>106</v>
      </c>
      <c r="G192" s="267">
        <v>2</v>
      </c>
      <c r="H192" s="267">
        <v>7</v>
      </c>
      <c r="I192" s="259">
        <v>4</v>
      </c>
      <c r="J192" s="259">
        <v>19</v>
      </c>
      <c r="K192" s="259">
        <v>17</v>
      </c>
      <c r="L192" s="259">
        <v>21</v>
      </c>
      <c r="M192" s="260">
        <f t="shared" si="45"/>
        <v>61</v>
      </c>
      <c r="N192" s="255">
        <v>3500</v>
      </c>
      <c r="O192" s="255">
        <v>3500</v>
      </c>
      <c r="P192" s="255">
        <v>3500</v>
      </c>
      <c r="Q192" s="255">
        <v>3500</v>
      </c>
      <c r="R192" s="262">
        <f t="shared" si="77"/>
        <v>213500</v>
      </c>
      <c r="S192" s="269">
        <f t="shared" si="78"/>
        <v>14000</v>
      </c>
      <c r="T192" s="269">
        <f t="shared" si="79"/>
        <v>66500</v>
      </c>
      <c r="U192" s="269">
        <f t="shared" si="80"/>
        <v>59500</v>
      </c>
      <c r="V192" s="269">
        <f t="shared" si="81"/>
        <v>73500</v>
      </c>
      <c r="W192" s="262">
        <f t="shared" si="6"/>
        <v>213500</v>
      </c>
      <c r="X192" s="55"/>
      <c r="Y192" s="55"/>
      <c r="Z192" s="31">
        <v>76</v>
      </c>
    </row>
    <row r="193" spans="1:26" ht="12.75" hidden="1" outlineLevel="2" x14ac:dyDescent="0.2">
      <c r="A193" s="251" t="s">
        <v>384</v>
      </c>
      <c r="B193" s="251" t="s">
        <v>385</v>
      </c>
      <c r="C193" s="251" t="s">
        <v>190</v>
      </c>
      <c r="D193" s="251" t="s">
        <v>191</v>
      </c>
      <c r="E193" s="252" t="s">
        <v>17</v>
      </c>
      <c r="F193" s="253" t="s">
        <v>290</v>
      </c>
      <c r="G193" s="267">
        <v>2</v>
      </c>
      <c r="H193" s="267">
        <v>7</v>
      </c>
      <c r="I193" s="259"/>
      <c r="J193" s="259">
        <v>2</v>
      </c>
      <c r="K193" s="259">
        <v>7</v>
      </c>
      <c r="L193" s="259">
        <v>7</v>
      </c>
      <c r="M193" s="260">
        <f t="shared" si="45"/>
        <v>16</v>
      </c>
      <c r="N193" s="255">
        <v>3500</v>
      </c>
      <c r="O193" s="255">
        <v>3500</v>
      </c>
      <c r="P193" s="255">
        <v>3500</v>
      </c>
      <c r="Q193" s="255">
        <v>3500</v>
      </c>
      <c r="R193" s="262">
        <f t="shared" si="77"/>
        <v>56000</v>
      </c>
      <c r="S193" s="269">
        <f t="shared" si="78"/>
        <v>0</v>
      </c>
      <c r="T193" s="269">
        <f t="shared" si="79"/>
        <v>7000</v>
      </c>
      <c r="U193" s="269">
        <f t="shared" si="80"/>
        <v>24500</v>
      </c>
      <c r="V193" s="269">
        <f t="shared" si="81"/>
        <v>24500</v>
      </c>
      <c r="W193" s="262">
        <f t="shared" si="6"/>
        <v>56000</v>
      </c>
      <c r="X193" s="55"/>
      <c r="Y193" s="55"/>
      <c r="Z193" s="31">
        <v>76</v>
      </c>
    </row>
    <row r="194" spans="1:26" ht="12.75" hidden="1" outlineLevel="2" x14ac:dyDescent="0.2">
      <c r="A194" s="251" t="s">
        <v>384</v>
      </c>
      <c r="B194" s="251" t="s">
        <v>385</v>
      </c>
      <c r="C194" s="251" t="s">
        <v>190</v>
      </c>
      <c r="D194" s="251" t="s">
        <v>345</v>
      </c>
      <c r="E194" s="252" t="s">
        <v>37</v>
      </c>
      <c r="F194" s="253" t="s">
        <v>290</v>
      </c>
      <c r="G194" s="267">
        <v>2</v>
      </c>
      <c r="H194" s="267">
        <v>7</v>
      </c>
      <c r="I194" s="259">
        <v>5</v>
      </c>
      <c r="J194" s="259">
        <v>3</v>
      </c>
      <c r="K194" s="259">
        <v>3</v>
      </c>
      <c r="L194" s="259">
        <v>4</v>
      </c>
      <c r="M194" s="260">
        <f t="shared" si="45"/>
        <v>15</v>
      </c>
      <c r="N194" s="255">
        <v>3500</v>
      </c>
      <c r="O194" s="255">
        <v>3500</v>
      </c>
      <c r="P194" s="255">
        <v>3500</v>
      </c>
      <c r="Q194" s="255">
        <v>3500</v>
      </c>
      <c r="R194" s="262">
        <f t="shared" si="77"/>
        <v>52500</v>
      </c>
      <c r="S194" s="269">
        <f t="shared" si="78"/>
        <v>17500</v>
      </c>
      <c r="T194" s="269">
        <f t="shared" si="79"/>
        <v>10500</v>
      </c>
      <c r="U194" s="269">
        <f t="shared" si="80"/>
        <v>10500</v>
      </c>
      <c r="V194" s="269">
        <f t="shared" si="81"/>
        <v>14000</v>
      </c>
      <c r="W194" s="262">
        <f t="shared" si="6"/>
        <v>52500</v>
      </c>
      <c r="X194" s="55"/>
      <c r="Y194" s="55"/>
      <c r="Z194" s="31">
        <v>76</v>
      </c>
    </row>
    <row r="195" spans="1:26" ht="12.75" hidden="1" outlineLevel="2" x14ac:dyDescent="0.2">
      <c r="A195" s="251" t="s">
        <v>384</v>
      </c>
      <c r="B195" s="251" t="s">
        <v>385</v>
      </c>
      <c r="C195" s="251" t="s">
        <v>190</v>
      </c>
      <c r="D195" s="251" t="s">
        <v>346</v>
      </c>
      <c r="E195" s="252" t="s">
        <v>37</v>
      </c>
      <c r="F195" s="253" t="s">
        <v>290</v>
      </c>
      <c r="G195" s="267">
        <v>2</v>
      </c>
      <c r="H195" s="267">
        <v>7</v>
      </c>
      <c r="I195" s="259">
        <v>2</v>
      </c>
      <c r="J195" s="259"/>
      <c r="K195" s="259"/>
      <c r="L195" s="259">
        <v>2</v>
      </c>
      <c r="M195" s="260">
        <f t="shared" si="45"/>
        <v>4</v>
      </c>
      <c r="N195" s="255">
        <v>3500</v>
      </c>
      <c r="O195" s="255">
        <v>3500</v>
      </c>
      <c r="P195" s="255">
        <v>3500</v>
      </c>
      <c r="Q195" s="255">
        <v>3500</v>
      </c>
      <c r="R195" s="262">
        <f t="shared" si="77"/>
        <v>14000</v>
      </c>
      <c r="S195" s="269">
        <f t="shared" si="78"/>
        <v>7000</v>
      </c>
      <c r="T195" s="269">
        <f t="shared" si="79"/>
        <v>0</v>
      </c>
      <c r="U195" s="269">
        <f t="shared" si="80"/>
        <v>0</v>
      </c>
      <c r="V195" s="269">
        <f t="shared" si="81"/>
        <v>7000</v>
      </c>
      <c r="W195" s="262">
        <f t="shared" si="6"/>
        <v>14000</v>
      </c>
      <c r="X195" s="55"/>
      <c r="Y195" s="55"/>
      <c r="Z195" s="31">
        <v>76</v>
      </c>
    </row>
    <row r="196" spans="1:26" ht="12.75" hidden="1" outlineLevel="2" x14ac:dyDescent="0.2">
      <c r="A196" s="251" t="s">
        <v>386</v>
      </c>
      <c r="B196" s="251" t="s">
        <v>387</v>
      </c>
      <c r="C196" s="251" t="s">
        <v>347</v>
      </c>
      <c r="D196" s="251" t="s">
        <v>271</v>
      </c>
      <c r="E196" s="252" t="s">
        <v>16</v>
      </c>
      <c r="F196" s="253" t="s">
        <v>561</v>
      </c>
      <c r="G196" s="267">
        <v>2</v>
      </c>
      <c r="H196" s="267">
        <v>8</v>
      </c>
      <c r="I196" s="259"/>
      <c r="J196" s="259"/>
      <c r="K196" s="259"/>
      <c r="L196" s="259"/>
      <c r="M196" s="260">
        <f t="shared" si="45"/>
        <v>0</v>
      </c>
      <c r="N196" s="255">
        <v>2950</v>
      </c>
      <c r="O196" s="255">
        <v>2950</v>
      </c>
      <c r="P196" s="255">
        <v>2985</v>
      </c>
      <c r="Q196" s="255">
        <v>2985</v>
      </c>
      <c r="R196" s="262">
        <f t="shared" si="77"/>
        <v>0</v>
      </c>
      <c r="S196" s="269">
        <f t="shared" si="78"/>
        <v>0</v>
      </c>
      <c r="T196" s="269">
        <f t="shared" si="79"/>
        <v>0</v>
      </c>
      <c r="U196" s="269">
        <f t="shared" si="80"/>
        <v>0</v>
      </c>
      <c r="V196" s="269">
        <f t="shared" si="81"/>
        <v>0</v>
      </c>
      <c r="W196" s="262">
        <f t="shared" si="6"/>
        <v>0</v>
      </c>
      <c r="X196" s="55"/>
      <c r="Y196" s="55"/>
      <c r="Z196" s="31">
        <v>76</v>
      </c>
    </row>
    <row r="197" spans="1:26" ht="12.75" hidden="1" outlineLevel="2" x14ac:dyDescent="0.2">
      <c r="A197" s="251" t="s">
        <v>386</v>
      </c>
      <c r="B197" s="251" t="s">
        <v>387</v>
      </c>
      <c r="C197" s="251" t="s">
        <v>347</v>
      </c>
      <c r="D197" s="251" t="s">
        <v>272</v>
      </c>
      <c r="E197" s="252" t="s">
        <v>16</v>
      </c>
      <c r="F197" s="253" t="s">
        <v>108</v>
      </c>
      <c r="G197" s="267">
        <v>2</v>
      </c>
      <c r="H197" s="267">
        <v>8</v>
      </c>
      <c r="I197" s="259"/>
      <c r="J197" s="259"/>
      <c r="K197" s="259"/>
      <c r="L197" s="259"/>
      <c r="M197" s="260">
        <f t="shared" si="45"/>
        <v>0</v>
      </c>
      <c r="N197" s="255">
        <v>2950</v>
      </c>
      <c r="O197" s="255">
        <v>2950</v>
      </c>
      <c r="P197" s="255">
        <v>2985</v>
      </c>
      <c r="Q197" s="255">
        <v>2985</v>
      </c>
      <c r="R197" s="262">
        <f t="shared" si="77"/>
        <v>0</v>
      </c>
      <c r="S197" s="269">
        <f t="shared" si="78"/>
        <v>0</v>
      </c>
      <c r="T197" s="269">
        <f t="shared" si="79"/>
        <v>0</v>
      </c>
      <c r="U197" s="269">
        <f t="shared" si="80"/>
        <v>0</v>
      </c>
      <c r="V197" s="269">
        <f t="shared" si="81"/>
        <v>0</v>
      </c>
      <c r="W197" s="262">
        <f t="shared" si="6"/>
        <v>0</v>
      </c>
      <c r="X197" s="55"/>
      <c r="Y197" s="55"/>
      <c r="Z197" s="31">
        <v>76</v>
      </c>
    </row>
    <row r="198" spans="1:26" ht="12.75" hidden="1" outlineLevel="2" x14ac:dyDescent="0.2">
      <c r="A198" s="251" t="s">
        <v>386</v>
      </c>
      <c r="B198" s="251" t="s">
        <v>387</v>
      </c>
      <c r="C198" s="251" t="s">
        <v>347</v>
      </c>
      <c r="D198" s="251" t="s">
        <v>273</v>
      </c>
      <c r="E198" s="252" t="s">
        <v>16</v>
      </c>
      <c r="F198" s="253" t="s">
        <v>106</v>
      </c>
      <c r="G198" s="267">
        <v>2</v>
      </c>
      <c r="H198" s="267">
        <v>8</v>
      </c>
      <c r="I198" s="259">
        <v>4</v>
      </c>
      <c r="J198" s="259">
        <v>2</v>
      </c>
      <c r="K198" s="259"/>
      <c r="L198" s="259"/>
      <c r="M198" s="260">
        <f t="shared" si="45"/>
        <v>6</v>
      </c>
      <c r="N198" s="255">
        <v>2950</v>
      </c>
      <c r="O198" s="255">
        <v>2950</v>
      </c>
      <c r="P198" s="255">
        <v>2985</v>
      </c>
      <c r="Q198" s="255">
        <v>2985</v>
      </c>
      <c r="R198" s="262">
        <f t="shared" si="77"/>
        <v>17700</v>
      </c>
      <c r="S198" s="269">
        <f t="shared" si="78"/>
        <v>11800</v>
      </c>
      <c r="T198" s="269">
        <f t="shared" si="79"/>
        <v>5900</v>
      </c>
      <c r="U198" s="269">
        <f t="shared" si="80"/>
        <v>0</v>
      </c>
      <c r="V198" s="269">
        <f t="shared" si="81"/>
        <v>0</v>
      </c>
      <c r="W198" s="262">
        <f t="shared" si="6"/>
        <v>17700</v>
      </c>
      <c r="X198" s="55"/>
      <c r="Y198" s="55"/>
      <c r="Z198" s="31">
        <v>76</v>
      </c>
    </row>
    <row r="199" spans="1:26" ht="12.75" hidden="1" outlineLevel="2" x14ac:dyDescent="0.2">
      <c r="A199" s="251" t="s">
        <v>386</v>
      </c>
      <c r="B199" s="251" t="s">
        <v>387</v>
      </c>
      <c r="C199" s="251" t="s">
        <v>347</v>
      </c>
      <c r="D199" s="251" t="s">
        <v>274</v>
      </c>
      <c r="E199" s="252" t="s">
        <v>17</v>
      </c>
      <c r="F199" s="253" t="s">
        <v>290</v>
      </c>
      <c r="G199" s="267">
        <v>2</v>
      </c>
      <c r="H199" s="267">
        <v>8</v>
      </c>
      <c r="I199" s="259">
        <v>2</v>
      </c>
      <c r="J199" s="259"/>
      <c r="K199" s="259"/>
      <c r="L199" s="259"/>
      <c r="M199" s="260">
        <f t="shared" ref="M199:M217" si="82">SUM(I199:L199)</f>
        <v>2</v>
      </c>
      <c r="N199" s="255">
        <v>2950</v>
      </c>
      <c r="O199" s="255">
        <v>2950</v>
      </c>
      <c r="P199" s="255">
        <v>2985</v>
      </c>
      <c r="Q199" s="255">
        <v>2985</v>
      </c>
      <c r="R199" s="262">
        <f t="shared" si="77"/>
        <v>5900</v>
      </c>
      <c r="S199" s="269">
        <f t="shared" si="78"/>
        <v>5900</v>
      </c>
      <c r="T199" s="269">
        <f t="shared" si="79"/>
        <v>0</v>
      </c>
      <c r="U199" s="269">
        <f t="shared" si="80"/>
        <v>0</v>
      </c>
      <c r="V199" s="269">
        <f t="shared" si="81"/>
        <v>0</v>
      </c>
      <c r="W199" s="262">
        <f t="shared" si="6"/>
        <v>5900</v>
      </c>
      <c r="X199" s="55"/>
      <c r="Y199" s="55"/>
      <c r="Z199" s="31">
        <v>76</v>
      </c>
    </row>
    <row r="200" spans="1:26" ht="12.75" hidden="1" outlineLevel="2" x14ac:dyDescent="0.2">
      <c r="A200" s="251" t="s">
        <v>386</v>
      </c>
      <c r="B200" s="251" t="s">
        <v>387</v>
      </c>
      <c r="C200" s="251" t="s">
        <v>347</v>
      </c>
      <c r="D200" s="251" t="s">
        <v>275</v>
      </c>
      <c r="E200" s="252" t="s">
        <v>17</v>
      </c>
      <c r="F200" s="253" t="s">
        <v>290</v>
      </c>
      <c r="G200" s="267">
        <v>2</v>
      </c>
      <c r="H200" s="267">
        <v>8</v>
      </c>
      <c r="I200" s="259"/>
      <c r="J200" s="259"/>
      <c r="K200" s="259"/>
      <c r="L200" s="259"/>
      <c r="M200" s="260">
        <f t="shared" si="82"/>
        <v>0</v>
      </c>
      <c r="N200" s="255">
        <v>2950</v>
      </c>
      <c r="O200" s="255">
        <v>2950</v>
      </c>
      <c r="P200" s="255">
        <v>2985</v>
      </c>
      <c r="Q200" s="255">
        <v>2985</v>
      </c>
      <c r="R200" s="262">
        <f t="shared" si="77"/>
        <v>0</v>
      </c>
      <c r="S200" s="269">
        <f t="shared" si="78"/>
        <v>0</v>
      </c>
      <c r="T200" s="269">
        <f t="shared" si="79"/>
        <v>0</v>
      </c>
      <c r="U200" s="269">
        <f t="shared" si="80"/>
        <v>0</v>
      </c>
      <c r="V200" s="269">
        <f t="shared" si="81"/>
        <v>0</v>
      </c>
      <c r="W200" s="262">
        <f t="shared" si="6"/>
        <v>0</v>
      </c>
      <c r="X200" s="55"/>
      <c r="Y200" s="55"/>
      <c r="Z200" s="31">
        <v>76</v>
      </c>
    </row>
    <row r="201" spans="1:26" ht="12.75" hidden="1" outlineLevel="2" x14ac:dyDescent="0.2">
      <c r="A201" s="251" t="s">
        <v>386</v>
      </c>
      <c r="B201" s="251" t="s">
        <v>387</v>
      </c>
      <c r="C201" s="251" t="s">
        <v>348</v>
      </c>
      <c r="D201" s="251" t="s">
        <v>349</v>
      </c>
      <c r="E201" s="252" t="s">
        <v>16</v>
      </c>
      <c r="F201" s="253" t="s">
        <v>561</v>
      </c>
      <c r="G201" s="267">
        <v>2</v>
      </c>
      <c r="H201" s="267">
        <v>9</v>
      </c>
      <c r="I201" s="259">
        <v>20</v>
      </c>
      <c r="J201" s="259">
        <v>10</v>
      </c>
      <c r="K201" s="259">
        <v>13</v>
      </c>
      <c r="L201" s="259">
        <v>21</v>
      </c>
      <c r="M201" s="260">
        <f t="shared" si="82"/>
        <v>64</v>
      </c>
      <c r="N201" s="255">
        <v>3200</v>
      </c>
      <c r="O201" s="255">
        <v>3200</v>
      </c>
      <c r="P201" s="255">
        <v>3238</v>
      </c>
      <c r="Q201" s="255">
        <v>3238</v>
      </c>
      <c r="R201" s="262">
        <f t="shared" si="77"/>
        <v>206092</v>
      </c>
      <c r="S201" s="269">
        <f t="shared" si="78"/>
        <v>64000</v>
      </c>
      <c r="T201" s="269">
        <f t="shared" si="79"/>
        <v>32000</v>
      </c>
      <c r="U201" s="269">
        <f t="shared" si="80"/>
        <v>42094</v>
      </c>
      <c r="V201" s="269">
        <f t="shared" si="81"/>
        <v>67998</v>
      </c>
      <c r="W201" s="262">
        <f t="shared" si="6"/>
        <v>206092</v>
      </c>
      <c r="X201" s="55"/>
      <c r="Y201" s="55"/>
      <c r="Z201" s="31">
        <v>76</v>
      </c>
    </row>
    <row r="202" spans="1:26" ht="12.75" hidden="1" outlineLevel="2" x14ac:dyDescent="0.2">
      <c r="A202" s="251" t="s">
        <v>386</v>
      </c>
      <c r="B202" s="251" t="s">
        <v>387</v>
      </c>
      <c r="C202" s="251" t="s">
        <v>348</v>
      </c>
      <c r="D202" s="251" t="s">
        <v>350</v>
      </c>
      <c r="E202" s="252" t="s">
        <v>16</v>
      </c>
      <c r="F202" s="253" t="s">
        <v>108</v>
      </c>
      <c r="G202" s="267">
        <v>2</v>
      </c>
      <c r="H202" s="267">
        <v>9</v>
      </c>
      <c r="I202" s="259">
        <v>56</v>
      </c>
      <c r="J202" s="259">
        <v>114</v>
      </c>
      <c r="K202" s="259">
        <v>79</v>
      </c>
      <c r="L202" s="259">
        <v>130</v>
      </c>
      <c r="M202" s="260">
        <f t="shared" si="82"/>
        <v>379</v>
      </c>
      <c r="N202" s="255">
        <v>3200</v>
      </c>
      <c r="O202" s="255">
        <v>3200</v>
      </c>
      <c r="P202" s="255">
        <v>3238</v>
      </c>
      <c r="Q202" s="255">
        <v>3238</v>
      </c>
      <c r="R202" s="262">
        <f t="shared" si="77"/>
        <v>1220742</v>
      </c>
      <c r="S202" s="269">
        <f t="shared" si="78"/>
        <v>179200</v>
      </c>
      <c r="T202" s="269">
        <f t="shared" si="79"/>
        <v>364800</v>
      </c>
      <c r="U202" s="269">
        <f t="shared" si="80"/>
        <v>255802</v>
      </c>
      <c r="V202" s="269">
        <f t="shared" si="81"/>
        <v>420940</v>
      </c>
      <c r="W202" s="262">
        <f t="shared" si="6"/>
        <v>1220742</v>
      </c>
      <c r="X202" s="55"/>
      <c r="Y202" s="55"/>
      <c r="Z202" s="31">
        <v>76</v>
      </c>
    </row>
    <row r="203" spans="1:26" ht="12.75" hidden="1" outlineLevel="2" x14ac:dyDescent="0.2">
      <c r="A203" s="251" t="s">
        <v>386</v>
      </c>
      <c r="B203" s="251" t="s">
        <v>387</v>
      </c>
      <c r="C203" s="251" t="s">
        <v>348</v>
      </c>
      <c r="D203" s="251" t="s">
        <v>351</v>
      </c>
      <c r="E203" s="252" t="s">
        <v>16</v>
      </c>
      <c r="F203" s="253" t="s">
        <v>106</v>
      </c>
      <c r="G203" s="267">
        <v>2</v>
      </c>
      <c r="H203" s="267">
        <v>9</v>
      </c>
      <c r="I203" s="259">
        <v>114</v>
      </c>
      <c r="J203" s="259">
        <v>148</v>
      </c>
      <c r="K203" s="259">
        <v>96</v>
      </c>
      <c r="L203" s="259">
        <v>163</v>
      </c>
      <c r="M203" s="260">
        <f t="shared" si="82"/>
        <v>521</v>
      </c>
      <c r="N203" s="255">
        <v>3200</v>
      </c>
      <c r="O203" s="255">
        <v>3200</v>
      </c>
      <c r="P203" s="255">
        <v>3238</v>
      </c>
      <c r="Q203" s="255">
        <v>3238</v>
      </c>
      <c r="R203" s="262">
        <f t="shared" si="77"/>
        <v>1677042</v>
      </c>
      <c r="S203" s="269">
        <f t="shared" si="78"/>
        <v>364800</v>
      </c>
      <c r="T203" s="269">
        <f t="shared" si="79"/>
        <v>473600</v>
      </c>
      <c r="U203" s="269">
        <f t="shared" si="80"/>
        <v>310848</v>
      </c>
      <c r="V203" s="269">
        <f t="shared" si="81"/>
        <v>527794</v>
      </c>
      <c r="W203" s="262">
        <f t="shared" si="6"/>
        <v>1677042</v>
      </c>
      <c r="X203" s="55"/>
      <c r="Y203" s="55"/>
      <c r="Z203" s="31">
        <v>76</v>
      </c>
    </row>
    <row r="204" spans="1:26" ht="12.75" hidden="1" outlineLevel="2" x14ac:dyDescent="0.2">
      <c r="A204" s="251" t="s">
        <v>386</v>
      </c>
      <c r="B204" s="251" t="s">
        <v>387</v>
      </c>
      <c r="C204" s="251" t="s">
        <v>348</v>
      </c>
      <c r="D204" s="251" t="s">
        <v>352</v>
      </c>
      <c r="E204" s="252" t="s">
        <v>17</v>
      </c>
      <c r="F204" s="253" t="s">
        <v>290</v>
      </c>
      <c r="G204" s="267">
        <v>2</v>
      </c>
      <c r="H204" s="267">
        <v>9</v>
      </c>
      <c r="I204" s="259">
        <v>12</v>
      </c>
      <c r="J204" s="259">
        <v>19</v>
      </c>
      <c r="K204" s="259">
        <v>20</v>
      </c>
      <c r="L204" s="259">
        <v>37</v>
      </c>
      <c r="M204" s="260">
        <f t="shared" si="82"/>
        <v>88</v>
      </c>
      <c r="N204" s="255">
        <v>3200</v>
      </c>
      <c r="O204" s="255">
        <v>3200</v>
      </c>
      <c r="P204" s="255">
        <v>3238</v>
      </c>
      <c r="Q204" s="255">
        <v>3238</v>
      </c>
      <c r="R204" s="262">
        <f t="shared" si="77"/>
        <v>283766</v>
      </c>
      <c r="S204" s="269">
        <f t="shared" si="78"/>
        <v>38400</v>
      </c>
      <c r="T204" s="269">
        <f t="shared" si="79"/>
        <v>60800</v>
      </c>
      <c r="U204" s="269">
        <f t="shared" si="80"/>
        <v>64760</v>
      </c>
      <c r="V204" s="269">
        <f t="shared" si="81"/>
        <v>119806</v>
      </c>
      <c r="W204" s="262">
        <f t="shared" si="6"/>
        <v>283766</v>
      </c>
      <c r="X204" s="55"/>
      <c r="Y204" s="55"/>
      <c r="Z204" s="31">
        <v>76</v>
      </c>
    </row>
    <row r="205" spans="1:26" ht="12.75" hidden="1" outlineLevel="2" x14ac:dyDescent="0.2">
      <c r="A205" s="251" t="s">
        <v>386</v>
      </c>
      <c r="B205" s="251" t="s">
        <v>387</v>
      </c>
      <c r="C205" s="251" t="s">
        <v>348</v>
      </c>
      <c r="D205" s="251" t="s">
        <v>353</v>
      </c>
      <c r="E205" s="252" t="s">
        <v>17</v>
      </c>
      <c r="F205" s="253" t="s">
        <v>290</v>
      </c>
      <c r="G205" s="267">
        <v>2</v>
      </c>
      <c r="H205" s="267">
        <v>9</v>
      </c>
      <c r="I205" s="259"/>
      <c r="J205" s="259"/>
      <c r="K205" s="259"/>
      <c r="L205" s="259"/>
      <c r="M205" s="260">
        <f t="shared" si="82"/>
        <v>0</v>
      </c>
      <c r="N205" s="255">
        <v>3200</v>
      </c>
      <c r="O205" s="255">
        <v>3200</v>
      </c>
      <c r="P205" s="255">
        <v>3238</v>
      </c>
      <c r="Q205" s="255">
        <v>3238</v>
      </c>
      <c r="R205" s="262">
        <f t="shared" si="77"/>
        <v>0</v>
      </c>
      <c r="S205" s="269">
        <f t="shared" si="78"/>
        <v>0</v>
      </c>
      <c r="T205" s="269">
        <f t="shared" si="79"/>
        <v>0</v>
      </c>
      <c r="U205" s="269">
        <f t="shared" si="80"/>
        <v>0</v>
      </c>
      <c r="V205" s="269">
        <f t="shared" si="81"/>
        <v>0</v>
      </c>
      <c r="W205" s="262">
        <f t="shared" si="6"/>
        <v>0</v>
      </c>
      <c r="X205" s="55"/>
      <c r="Y205" s="55"/>
      <c r="Z205" s="31">
        <v>76</v>
      </c>
    </row>
    <row r="206" spans="1:26" ht="12.75" hidden="1" outlineLevel="2" x14ac:dyDescent="0.2">
      <c r="A206" s="251" t="s">
        <v>384</v>
      </c>
      <c r="B206" s="251" t="s">
        <v>385</v>
      </c>
      <c r="C206" s="251" t="s">
        <v>354</v>
      </c>
      <c r="D206" s="251" t="s">
        <v>355</v>
      </c>
      <c r="E206" s="252" t="s">
        <v>291</v>
      </c>
      <c r="F206" s="253" t="s">
        <v>108</v>
      </c>
      <c r="G206" s="267">
        <v>2</v>
      </c>
      <c r="H206" s="267">
        <v>10</v>
      </c>
      <c r="I206" s="259">
        <v>240</v>
      </c>
      <c r="J206" s="259">
        <v>166</v>
      </c>
      <c r="K206" s="259">
        <v>69</v>
      </c>
      <c r="L206" s="259">
        <v>17</v>
      </c>
      <c r="M206" s="260">
        <f t="shared" si="82"/>
        <v>492</v>
      </c>
      <c r="N206" s="255">
        <v>4450</v>
      </c>
      <c r="O206" s="255">
        <v>4450</v>
      </c>
      <c r="P206" s="255">
        <v>4450</v>
      </c>
      <c r="Q206" s="255">
        <v>4450</v>
      </c>
      <c r="R206" s="262">
        <f t="shared" si="77"/>
        <v>2189400</v>
      </c>
      <c r="S206" s="269">
        <f t="shared" si="78"/>
        <v>1068000</v>
      </c>
      <c r="T206" s="269">
        <f t="shared" si="79"/>
        <v>738700</v>
      </c>
      <c r="U206" s="269">
        <f t="shared" si="80"/>
        <v>307050</v>
      </c>
      <c r="V206" s="269">
        <f t="shared" si="81"/>
        <v>75650</v>
      </c>
      <c r="W206" s="262">
        <f t="shared" si="6"/>
        <v>2189400</v>
      </c>
      <c r="X206" s="55" t="s">
        <v>510</v>
      </c>
      <c r="Y206" s="55"/>
      <c r="Z206" s="31">
        <v>76</v>
      </c>
    </row>
    <row r="207" spans="1:26" ht="12.75" hidden="1" outlineLevel="2" x14ac:dyDescent="0.2">
      <c r="A207" s="251" t="s">
        <v>384</v>
      </c>
      <c r="B207" s="251" t="s">
        <v>385</v>
      </c>
      <c r="C207" s="251" t="s">
        <v>354</v>
      </c>
      <c r="D207" s="251" t="s">
        <v>356</v>
      </c>
      <c r="E207" s="252" t="s">
        <v>16</v>
      </c>
      <c r="F207" s="253" t="s">
        <v>108</v>
      </c>
      <c r="G207" s="267">
        <v>2</v>
      </c>
      <c r="H207" s="267">
        <v>10</v>
      </c>
      <c r="I207" s="259">
        <v>280</v>
      </c>
      <c r="J207" s="259">
        <v>238</v>
      </c>
      <c r="K207" s="259">
        <v>66</v>
      </c>
      <c r="L207" s="259">
        <v>42</v>
      </c>
      <c r="M207" s="260">
        <f t="shared" si="82"/>
        <v>626</v>
      </c>
      <c r="N207" s="255">
        <v>4450</v>
      </c>
      <c r="O207" s="255">
        <v>4450</v>
      </c>
      <c r="P207" s="255">
        <v>4450</v>
      </c>
      <c r="Q207" s="255">
        <v>4450</v>
      </c>
      <c r="R207" s="262">
        <f t="shared" si="77"/>
        <v>2785700</v>
      </c>
      <c r="S207" s="269">
        <f t="shared" si="78"/>
        <v>1246000</v>
      </c>
      <c r="T207" s="269">
        <f t="shared" si="79"/>
        <v>1059100</v>
      </c>
      <c r="U207" s="269">
        <f t="shared" si="80"/>
        <v>293700</v>
      </c>
      <c r="V207" s="269">
        <f t="shared" si="81"/>
        <v>186900</v>
      </c>
      <c r="W207" s="262">
        <f t="shared" si="6"/>
        <v>2785700</v>
      </c>
      <c r="X207" s="55" t="s">
        <v>510</v>
      </c>
      <c r="Y207" s="55"/>
      <c r="Z207" s="31">
        <v>76</v>
      </c>
    </row>
    <row r="208" spans="1:26" ht="12.75" hidden="1" outlineLevel="2" x14ac:dyDescent="0.2">
      <c r="A208" s="251" t="s">
        <v>384</v>
      </c>
      <c r="B208" s="251" t="s">
        <v>385</v>
      </c>
      <c r="C208" s="251" t="s">
        <v>354</v>
      </c>
      <c r="D208" s="251" t="s">
        <v>357</v>
      </c>
      <c r="E208" s="252" t="s">
        <v>16</v>
      </c>
      <c r="F208" s="253" t="s">
        <v>106</v>
      </c>
      <c r="G208" s="267">
        <v>2</v>
      </c>
      <c r="H208" s="267">
        <v>10</v>
      </c>
      <c r="I208" s="259">
        <v>603</v>
      </c>
      <c r="J208" s="259">
        <v>459</v>
      </c>
      <c r="K208" s="259">
        <v>177</v>
      </c>
      <c r="L208" s="259">
        <v>99</v>
      </c>
      <c r="M208" s="260">
        <f t="shared" si="82"/>
        <v>1338</v>
      </c>
      <c r="N208" s="255">
        <v>4450</v>
      </c>
      <c r="O208" s="255">
        <v>4450</v>
      </c>
      <c r="P208" s="255">
        <v>4450</v>
      </c>
      <c r="Q208" s="255">
        <v>4450</v>
      </c>
      <c r="R208" s="262">
        <f t="shared" si="77"/>
        <v>5954100</v>
      </c>
      <c r="S208" s="269">
        <f t="shared" si="78"/>
        <v>2683350</v>
      </c>
      <c r="T208" s="269">
        <f t="shared" si="79"/>
        <v>2042550</v>
      </c>
      <c r="U208" s="269">
        <f t="shared" si="80"/>
        <v>787650</v>
      </c>
      <c r="V208" s="269">
        <f t="shared" si="81"/>
        <v>440550</v>
      </c>
      <c r="W208" s="262">
        <f t="shared" si="6"/>
        <v>5954100</v>
      </c>
      <c r="X208" s="55" t="s">
        <v>510</v>
      </c>
      <c r="Y208" s="55"/>
      <c r="Z208" s="31">
        <v>76</v>
      </c>
    </row>
    <row r="209" spans="1:26" ht="12.75" hidden="1" outlineLevel="2" x14ac:dyDescent="0.2">
      <c r="A209" s="251" t="s">
        <v>384</v>
      </c>
      <c r="B209" s="251" t="s">
        <v>385</v>
      </c>
      <c r="C209" s="251" t="s">
        <v>354</v>
      </c>
      <c r="D209" s="251" t="s">
        <v>151</v>
      </c>
      <c r="E209" s="252" t="s">
        <v>17</v>
      </c>
      <c r="F209" s="253" t="s">
        <v>290</v>
      </c>
      <c r="G209" s="267">
        <v>2</v>
      </c>
      <c r="H209" s="267">
        <v>10</v>
      </c>
      <c r="I209" s="259">
        <v>458</v>
      </c>
      <c r="J209" s="259">
        <v>439</v>
      </c>
      <c r="K209" s="259">
        <v>168</v>
      </c>
      <c r="L209" s="259">
        <v>117</v>
      </c>
      <c r="M209" s="260">
        <f t="shared" si="82"/>
        <v>1182</v>
      </c>
      <c r="N209" s="255">
        <v>4450</v>
      </c>
      <c r="O209" s="255">
        <v>4450</v>
      </c>
      <c r="P209" s="255">
        <v>4450</v>
      </c>
      <c r="Q209" s="255">
        <v>4450</v>
      </c>
      <c r="R209" s="262">
        <f t="shared" si="77"/>
        <v>5259900</v>
      </c>
      <c r="S209" s="269">
        <f t="shared" si="78"/>
        <v>2038100</v>
      </c>
      <c r="T209" s="269">
        <f t="shared" si="79"/>
        <v>1953550</v>
      </c>
      <c r="U209" s="269">
        <f t="shared" si="80"/>
        <v>747600</v>
      </c>
      <c r="V209" s="269">
        <f t="shared" si="81"/>
        <v>520650</v>
      </c>
      <c r="W209" s="262">
        <f t="shared" si="6"/>
        <v>5259900</v>
      </c>
      <c r="X209" s="55" t="s">
        <v>510</v>
      </c>
      <c r="Y209" s="55"/>
      <c r="Z209" s="31">
        <v>76</v>
      </c>
    </row>
    <row r="210" spans="1:26" ht="12.75" hidden="1" outlineLevel="2" x14ac:dyDescent="0.2">
      <c r="A210" s="251" t="s">
        <v>384</v>
      </c>
      <c r="B210" s="251" t="s">
        <v>385</v>
      </c>
      <c r="C210" s="251" t="s">
        <v>354</v>
      </c>
      <c r="D210" s="251" t="s">
        <v>358</v>
      </c>
      <c r="E210" s="252" t="s">
        <v>37</v>
      </c>
      <c r="F210" s="253" t="s">
        <v>290</v>
      </c>
      <c r="G210" s="267">
        <v>2</v>
      </c>
      <c r="H210" s="267">
        <v>10</v>
      </c>
      <c r="I210" s="259">
        <v>14</v>
      </c>
      <c r="J210" s="259">
        <v>7</v>
      </c>
      <c r="K210" s="259">
        <v>2</v>
      </c>
      <c r="L210" s="259">
        <v>5</v>
      </c>
      <c r="M210" s="260">
        <f t="shared" si="82"/>
        <v>28</v>
      </c>
      <c r="N210" s="255">
        <v>4450</v>
      </c>
      <c r="O210" s="255">
        <v>4450</v>
      </c>
      <c r="P210" s="255">
        <v>4450</v>
      </c>
      <c r="Q210" s="255">
        <v>4450</v>
      </c>
      <c r="R210" s="262">
        <f t="shared" si="77"/>
        <v>124600</v>
      </c>
      <c r="S210" s="269">
        <f t="shared" si="78"/>
        <v>62300</v>
      </c>
      <c r="T210" s="269">
        <f t="shared" si="79"/>
        <v>31150</v>
      </c>
      <c r="U210" s="269">
        <f t="shared" si="80"/>
        <v>8900</v>
      </c>
      <c r="V210" s="269">
        <f t="shared" si="81"/>
        <v>22250</v>
      </c>
      <c r="W210" s="262">
        <f t="shared" ref="W210:W211" si="83">SUM(S210:V210)</f>
        <v>124600</v>
      </c>
      <c r="X210" s="55" t="s">
        <v>510</v>
      </c>
      <c r="Y210" s="55"/>
      <c r="Z210" s="31">
        <v>76</v>
      </c>
    </row>
    <row r="211" spans="1:26" ht="12.75" hidden="1" outlineLevel="2" x14ac:dyDescent="0.2">
      <c r="A211" s="251" t="s">
        <v>384</v>
      </c>
      <c r="B211" s="251" t="s">
        <v>385</v>
      </c>
      <c r="C211" s="251" t="s">
        <v>354</v>
      </c>
      <c r="D211" s="251" t="s">
        <v>359</v>
      </c>
      <c r="E211" s="252" t="s">
        <v>37</v>
      </c>
      <c r="F211" s="253" t="s">
        <v>290</v>
      </c>
      <c r="G211" s="267">
        <v>2</v>
      </c>
      <c r="H211" s="267">
        <v>10</v>
      </c>
      <c r="I211" s="259">
        <v>107</v>
      </c>
      <c r="J211" s="259">
        <v>72</v>
      </c>
      <c r="K211" s="259">
        <v>29</v>
      </c>
      <c r="L211" s="259">
        <v>37</v>
      </c>
      <c r="M211" s="260">
        <f t="shared" si="82"/>
        <v>245</v>
      </c>
      <c r="N211" s="255">
        <v>4450</v>
      </c>
      <c r="O211" s="255">
        <v>4450</v>
      </c>
      <c r="P211" s="255">
        <v>4450</v>
      </c>
      <c r="Q211" s="255">
        <v>4450</v>
      </c>
      <c r="R211" s="262">
        <f t="shared" si="77"/>
        <v>1090250</v>
      </c>
      <c r="S211" s="269">
        <f t="shared" si="78"/>
        <v>476150</v>
      </c>
      <c r="T211" s="269">
        <f t="shared" si="79"/>
        <v>320400</v>
      </c>
      <c r="U211" s="269">
        <f t="shared" si="80"/>
        <v>129050</v>
      </c>
      <c r="V211" s="269">
        <f t="shared" si="81"/>
        <v>164650</v>
      </c>
      <c r="W211" s="262">
        <f t="shared" si="83"/>
        <v>1090250</v>
      </c>
      <c r="X211" s="55" t="s">
        <v>510</v>
      </c>
      <c r="Y211" s="55"/>
      <c r="Z211" s="31">
        <v>76</v>
      </c>
    </row>
    <row r="212" spans="1:26" ht="12.75" hidden="1" outlineLevel="2" x14ac:dyDescent="0.2">
      <c r="A212" s="251" t="s">
        <v>384</v>
      </c>
      <c r="B212" s="251" t="s">
        <v>385</v>
      </c>
      <c r="C212" s="251" t="s">
        <v>495</v>
      </c>
      <c r="D212" s="300" t="s">
        <v>497</v>
      </c>
      <c r="E212" s="301" t="s">
        <v>291</v>
      </c>
      <c r="F212" s="253" t="s">
        <v>108</v>
      </c>
      <c r="G212" s="267">
        <v>2</v>
      </c>
      <c r="H212" s="267">
        <v>10</v>
      </c>
      <c r="I212" s="259">
        <v>1</v>
      </c>
      <c r="J212" s="259">
        <v>100</v>
      </c>
      <c r="K212" s="259">
        <v>214</v>
      </c>
      <c r="L212" s="259">
        <v>337</v>
      </c>
      <c r="M212" s="260">
        <f t="shared" si="82"/>
        <v>652</v>
      </c>
      <c r="N212" s="255">
        <v>4450</v>
      </c>
      <c r="O212" s="255">
        <v>4450</v>
      </c>
      <c r="P212" s="255">
        <v>4450</v>
      </c>
      <c r="Q212" s="255">
        <v>4450</v>
      </c>
      <c r="R212" s="262">
        <f t="shared" si="77"/>
        <v>2901400</v>
      </c>
      <c r="S212" s="269">
        <f t="shared" si="78"/>
        <v>4450</v>
      </c>
      <c r="T212" s="269">
        <f t="shared" si="79"/>
        <v>445000</v>
      </c>
      <c r="U212" s="269">
        <f t="shared" si="80"/>
        <v>952300</v>
      </c>
      <c r="V212" s="269">
        <f t="shared" si="81"/>
        <v>1499650</v>
      </c>
      <c r="W212" s="262">
        <f t="shared" ref="W212:W217" si="84">SUM(S212:V212)</f>
        <v>2901400</v>
      </c>
      <c r="X212" s="55" t="s">
        <v>509</v>
      </c>
      <c r="Y212" s="55"/>
    </row>
    <row r="213" spans="1:26" ht="12.75" hidden="1" outlineLevel="2" x14ac:dyDescent="0.2">
      <c r="A213" s="251" t="s">
        <v>384</v>
      </c>
      <c r="B213" s="251" t="s">
        <v>385</v>
      </c>
      <c r="C213" s="251" t="s">
        <v>495</v>
      </c>
      <c r="D213" s="300" t="s">
        <v>498</v>
      </c>
      <c r="E213" s="301" t="s">
        <v>16</v>
      </c>
      <c r="F213" s="253" t="s">
        <v>108</v>
      </c>
      <c r="G213" s="267">
        <v>2</v>
      </c>
      <c r="H213" s="267">
        <v>10</v>
      </c>
      <c r="I213" s="259">
        <v>10</v>
      </c>
      <c r="J213" s="259">
        <v>235</v>
      </c>
      <c r="K213" s="259">
        <v>395</v>
      </c>
      <c r="L213" s="259">
        <v>564</v>
      </c>
      <c r="M213" s="260">
        <f t="shared" si="82"/>
        <v>1204</v>
      </c>
      <c r="N213" s="255">
        <v>4450</v>
      </c>
      <c r="O213" s="255">
        <v>4450</v>
      </c>
      <c r="P213" s="255">
        <v>4450</v>
      </c>
      <c r="Q213" s="255">
        <v>4450</v>
      </c>
      <c r="R213" s="262">
        <f t="shared" si="77"/>
        <v>5357800</v>
      </c>
      <c r="S213" s="269">
        <f t="shared" si="78"/>
        <v>44500</v>
      </c>
      <c r="T213" s="269">
        <f t="shared" si="79"/>
        <v>1045750</v>
      </c>
      <c r="U213" s="269">
        <f t="shared" si="80"/>
        <v>1757750</v>
      </c>
      <c r="V213" s="269">
        <f t="shared" si="81"/>
        <v>2509800</v>
      </c>
      <c r="W213" s="262">
        <f t="shared" si="84"/>
        <v>5357800</v>
      </c>
      <c r="X213" s="55" t="s">
        <v>509</v>
      </c>
      <c r="Y213" s="55"/>
    </row>
    <row r="214" spans="1:26" ht="12.75" hidden="1" outlineLevel="2" x14ac:dyDescent="0.2">
      <c r="A214" s="251" t="s">
        <v>384</v>
      </c>
      <c r="B214" s="251" t="s">
        <v>385</v>
      </c>
      <c r="C214" s="251" t="s">
        <v>495</v>
      </c>
      <c r="D214" s="300" t="s">
        <v>499</v>
      </c>
      <c r="E214" s="301" t="s">
        <v>16</v>
      </c>
      <c r="F214" s="253" t="s">
        <v>106</v>
      </c>
      <c r="G214" s="267">
        <v>2</v>
      </c>
      <c r="H214" s="267">
        <v>10</v>
      </c>
      <c r="I214" s="259">
        <v>10</v>
      </c>
      <c r="J214" s="259">
        <v>391</v>
      </c>
      <c r="K214" s="259">
        <v>673</v>
      </c>
      <c r="L214" s="259">
        <v>1141</v>
      </c>
      <c r="M214" s="260">
        <f t="shared" si="82"/>
        <v>2215</v>
      </c>
      <c r="N214" s="255">
        <v>4450</v>
      </c>
      <c r="O214" s="255">
        <v>4450</v>
      </c>
      <c r="P214" s="255">
        <v>4450</v>
      </c>
      <c r="Q214" s="255">
        <v>4450</v>
      </c>
      <c r="R214" s="262">
        <f t="shared" si="77"/>
        <v>9856750</v>
      </c>
      <c r="S214" s="269">
        <f t="shared" si="78"/>
        <v>44500</v>
      </c>
      <c r="T214" s="269">
        <f t="shared" si="79"/>
        <v>1739950</v>
      </c>
      <c r="U214" s="269">
        <f t="shared" si="80"/>
        <v>2994850</v>
      </c>
      <c r="V214" s="269">
        <f t="shared" si="81"/>
        <v>5077450</v>
      </c>
      <c r="W214" s="262">
        <f t="shared" si="84"/>
        <v>9856750</v>
      </c>
      <c r="X214" s="55" t="s">
        <v>509</v>
      </c>
      <c r="Y214" s="55"/>
    </row>
    <row r="215" spans="1:26" ht="12.75" hidden="1" outlineLevel="2" x14ac:dyDescent="0.2">
      <c r="A215" s="251" t="s">
        <v>384</v>
      </c>
      <c r="B215" s="251" t="s">
        <v>385</v>
      </c>
      <c r="C215" s="251" t="s">
        <v>495</v>
      </c>
      <c r="D215" s="300" t="s">
        <v>500</v>
      </c>
      <c r="E215" s="301" t="s">
        <v>17</v>
      </c>
      <c r="F215" s="253" t="s">
        <v>290</v>
      </c>
      <c r="G215" s="267">
        <v>2</v>
      </c>
      <c r="H215" s="267">
        <v>10</v>
      </c>
      <c r="I215" s="259">
        <v>6</v>
      </c>
      <c r="J215" s="259">
        <v>137</v>
      </c>
      <c r="K215" s="259">
        <v>330</v>
      </c>
      <c r="L215" s="259">
        <v>714</v>
      </c>
      <c r="M215" s="260">
        <f t="shared" si="82"/>
        <v>1187</v>
      </c>
      <c r="N215" s="255">
        <v>4450</v>
      </c>
      <c r="O215" s="255">
        <v>4450</v>
      </c>
      <c r="P215" s="255">
        <v>4450</v>
      </c>
      <c r="Q215" s="255">
        <v>4450</v>
      </c>
      <c r="R215" s="262">
        <f t="shared" si="77"/>
        <v>5282150</v>
      </c>
      <c r="S215" s="269">
        <f t="shared" si="78"/>
        <v>26700</v>
      </c>
      <c r="T215" s="269">
        <f t="shared" si="79"/>
        <v>609650</v>
      </c>
      <c r="U215" s="269">
        <f t="shared" si="80"/>
        <v>1468500</v>
      </c>
      <c r="V215" s="269">
        <f t="shared" si="81"/>
        <v>3177300</v>
      </c>
      <c r="W215" s="262">
        <f t="shared" si="84"/>
        <v>5282150</v>
      </c>
      <c r="X215" s="55" t="s">
        <v>509</v>
      </c>
      <c r="Y215" s="55"/>
    </row>
    <row r="216" spans="1:26" ht="12.75" hidden="1" outlineLevel="2" x14ac:dyDescent="0.2">
      <c r="A216" s="251" t="s">
        <v>384</v>
      </c>
      <c r="B216" s="251" t="s">
        <v>385</v>
      </c>
      <c r="C216" s="251" t="s">
        <v>495</v>
      </c>
      <c r="D216" s="300" t="s">
        <v>502</v>
      </c>
      <c r="E216" s="301" t="s">
        <v>37</v>
      </c>
      <c r="F216" s="253" t="s">
        <v>290</v>
      </c>
      <c r="G216" s="267">
        <v>2</v>
      </c>
      <c r="H216" s="267">
        <v>10</v>
      </c>
      <c r="I216" s="259"/>
      <c r="J216" s="259">
        <v>24</v>
      </c>
      <c r="K216" s="259">
        <v>36</v>
      </c>
      <c r="L216" s="259">
        <v>19</v>
      </c>
      <c r="M216" s="260">
        <f t="shared" si="82"/>
        <v>79</v>
      </c>
      <c r="N216" s="255">
        <v>4450</v>
      </c>
      <c r="O216" s="255">
        <v>4450</v>
      </c>
      <c r="P216" s="255">
        <v>4450</v>
      </c>
      <c r="Q216" s="255">
        <v>4450</v>
      </c>
      <c r="R216" s="262">
        <f t="shared" si="77"/>
        <v>351550</v>
      </c>
      <c r="S216" s="269">
        <f t="shared" si="78"/>
        <v>0</v>
      </c>
      <c r="T216" s="269">
        <f t="shared" si="79"/>
        <v>106800</v>
      </c>
      <c r="U216" s="269">
        <f t="shared" si="80"/>
        <v>160200</v>
      </c>
      <c r="V216" s="269">
        <f t="shared" si="81"/>
        <v>84550</v>
      </c>
      <c r="W216" s="262">
        <f t="shared" si="84"/>
        <v>351550</v>
      </c>
      <c r="X216" s="55" t="s">
        <v>509</v>
      </c>
      <c r="Y216" s="55"/>
    </row>
    <row r="217" spans="1:26" ht="12.75" hidden="1" outlineLevel="2" x14ac:dyDescent="0.2">
      <c r="A217" s="251" t="s">
        <v>384</v>
      </c>
      <c r="B217" s="251" t="s">
        <v>385</v>
      </c>
      <c r="C217" s="251" t="s">
        <v>495</v>
      </c>
      <c r="D217" s="300" t="s">
        <v>501</v>
      </c>
      <c r="E217" s="301" t="s">
        <v>37</v>
      </c>
      <c r="F217" s="253" t="s">
        <v>290</v>
      </c>
      <c r="G217" s="267">
        <v>2</v>
      </c>
      <c r="H217" s="267">
        <v>10</v>
      </c>
      <c r="I217" s="259">
        <v>10</v>
      </c>
      <c r="J217" s="259">
        <v>19</v>
      </c>
      <c r="K217" s="259">
        <v>30</v>
      </c>
      <c r="L217" s="259">
        <v>103</v>
      </c>
      <c r="M217" s="260">
        <f t="shared" si="82"/>
        <v>162</v>
      </c>
      <c r="N217" s="255">
        <v>4450</v>
      </c>
      <c r="O217" s="255">
        <v>4450</v>
      </c>
      <c r="P217" s="255">
        <v>4450</v>
      </c>
      <c r="Q217" s="255">
        <v>4450</v>
      </c>
      <c r="R217" s="262">
        <f t="shared" si="77"/>
        <v>720900</v>
      </c>
      <c r="S217" s="269">
        <f t="shared" si="78"/>
        <v>44500</v>
      </c>
      <c r="T217" s="269">
        <f t="shared" si="79"/>
        <v>84550</v>
      </c>
      <c r="U217" s="269">
        <f t="shared" si="80"/>
        <v>133500</v>
      </c>
      <c r="V217" s="269">
        <f t="shared" si="81"/>
        <v>458350</v>
      </c>
      <c r="W217" s="262">
        <f t="shared" si="84"/>
        <v>720900</v>
      </c>
      <c r="X217" s="55" t="s">
        <v>509</v>
      </c>
      <c r="Y217" s="55"/>
    </row>
    <row r="218" spans="1:26" ht="12.75" hidden="1" outlineLevel="2" x14ac:dyDescent="0.2">
      <c r="A218" s="251" t="s">
        <v>384</v>
      </c>
      <c r="B218" s="251" t="s">
        <v>385</v>
      </c>
      <c r="C218" s="251" t="s">
        <v>165</v>
      </c>
      <c r="D218" s="251" t="s">
        <v>360</v>
      </c>
      <c r="E218" s="252" t="s">
        <v>291</v>
      </c>
      <c r="F218" s="253" t="s">
        <v>108</v>
      </c>
      <c r="G218" s="267">
        <v>2</v>
      </c>
      <c r="H218" s="267">
        <v>11</v>
      </c>
      <c r="I218" s="259">
        <v>72</v>
      </c>
      <c r="J218" s="259">
        <v>57</v>
      </c>
      <c r="K218" s="259">
        <v>18</v>
      </c>
      <c r="L218" s="259">
        <v>9</v>
      </c>
      <c r="M218" s="260">
        <f t="shared" si="44"/>
        <v>156</v>
      </c>
      <c r="N218" s="255">
        <v>5057</v>
      </c>
      <c r="O218" s="255">
        <v>5057</v>
      </c>
      <c r="P218" s="255">
        <v>5057</v>
      </c>
      <c r="Q218" s="255">
        <v>5057</v>
      </c>
      <c r="R218" s="262">
        <f t="shared" si="77"/>
        <v>788892</v>
      </c>
      <c r="S218" s="269">
        <f t="shared" si="78"/>
        <v>327168</v>
      </c>
      <c r="T218" s="269">
        <f t="shared" si="79"/>
        <v>259008</v>
      </c>
      <c r="U218" s="269">
        <f t="shared" si="80"/>
        <v>81792</v>
      </c>
      <c r="V218" s="269">
        <f t="shared" si="81"/>
        <v>40896</v>
      </c>
      <c r="W218" s="262">
        <f t="shared" ref="W218:W266" si="85">SUM(S218:V218)</f>
        <v>708864</v>
      </c>
      <c r="X218" s="55" t="s">
        <v>510</v>
      </c>
      <c r="Y218" s="55"/>
      <c r="Z218" s="31">
        <v>76</v>
      </c>
    </row>
    <row r="219" spans="1:26" ht="12.75" hidden="1" outlineLevel="2" x14ac:dyDescent="0.2">
      <c r="A219" s="251" t="s">
        <v>384</v>
      </c>
      <c r="B219" s="251" t="s">
        <v>385</v>
      </c>
      <c r="C219" s="251" t="s">
        <v>165</v>
      </c>
      <c r="D219" s="251" t="s">
        <v>361</v>
      </c>
      <c r="E219" s="252" t="s">
        <v>16</v>
      </c>
      <c r="F219" s="253" t="s">
        <v>108</v>
      </c>
      <c r="G219" s="267">
        <v>2</v>
      </c>
      <c r="H219" s="267">
        <v>11</v>
      </c>
      <c r="I219" s="259">
        <v>107</v>
      </c>
      <c r="J219" s="259">
        <v>63</v>
      </c>
      <c r="K219" s="259">
        <v>15</v>
      </c>
      <c r="L219" s="259">
        <v>25</v>
      </c>
      <c r="M219" s="260">
        <f t="shared" si="44"/>
        <v>210</v>
      </c>
      <c r="N219" s="255">
        <v>5057</v>
      </c>
      <c r="O219" s="255">
        <v>5057</v>
      </c>
      <c r="P219" s="255">
        <v>5057</v>
      </c>
      <c r="Q219" s="255">
        <v>5057</v>
      </c>
      <c r="R219" s="262">
        <f t="shared" ref="R219:R243" si="86">SUMPRODUCT(I219:L219,N219:Q219)</f>
        <v>1061970</v>
      </c>
      <c r="S219" s="269">
        <f t="shared" ref="S219:S243" si="87">IF(N219&gt;prisgrense,I219*prisgrense,I219*N219)</f>
        <v>486208</v>
      </c>
      <c r="T219" s="269">
        <f t="shared" ref="T219:T243" si="88">IF(O219&gt;prisgrense,J219*prisgrense,J219*O219)</f>
        <v>286272</v>
      </c>
      <c r="U219" s="269">
        <f t="shared" ref="U219:U243" si="89">IF(P219&gt;prisgrense,K219*prisgrense,K219*P219)</f>
        <v>68160</v>
      </c>
      <c r="V219" s="269">
        <f t="shared" ref="V219:V243" si="90">IF(Q219&gt;prisgrense,L219*prisgrense,L219*Q219)</f>
        <v>113600</v>
      </c>
      <c r="W219" s="262">
        <f t="shared" si="85"/>
        <v>954240</v>
      </c>
      <c r="X219" s="55" t="s">
        <v>510</v>
      </c>
      <c r="Y219" s="55"/>
      <c r="Z219" s="31">
        <v>77</v>
      </c>
    </row>
    <row r="220" spans="1:26" ht="12.75" hidden="1" outlineLevel="2" x14ac:dyDescent="0.2">
      <c r="A220" s="251" t="s">
        <v>384</v>
      </c>
      <c r="B220" s="251" t="s">
        <v>385</v>
      </c>
      <c r="C220" s="251" t="s">
        <v>165</v>
      </c>
      <c r="D220" s="251" t="s">
        <v>362</v>
      </c>
      <c r="E220" s="252" t="s">
        <v>16</v>
      </c>
      <c r="F220" s="253" t="s">
        <v>106</v>
      </c>
      <c r="G220" s="267">
        <v>2</v>
      </c>
      <c r="H220" s="267">
        <v>11</v>
      </c>
      <c r="I220" s="259">
        <v>482</v>
      </c>
      <c r="J220" s="259">
        <v>323</v>
      </c>
      <c r="K220" s="259">
        <v>89</v>
      </c>
      <c r="L220" s="259">
        <v>75</v>
      </c>
      <c r="M220" s="260">
        <f t="shared" si="44"/>
        <v>969</v>
      </c>
      <c r="N220" s="255">
        <v>5057</v>
      </c>
      <c r="O220" s="255">
        <v>5057</v>
      </c>
      <c r="P220" s="255">
        <v>5057</v>
      </c>
      <c r="Q220" s="255">
        <v>5057</v>
      </c>
      <c r="R220" s="262">
        <f t="shared" si="86"/>
        <v>4900233</v>
      </c>
      <c r="S220" s="269">
        <f t="shared" si="87"/>
        <v>2190208</v>
      </c>
      <c r="T220" s="269">
        <f t="shared" si="88"/>
        <v>1467712</v>
      </c>
      <c r="U220" s="269">
        <f t="shared" si="89"/>
        <v>404416</v>
      </c>
      <c r="V220" s="269">
        <f t="shared" si="90"/>
        <v>340800</v>
      </c>
      <c r="W220" s="262">
        <f t="shared" si="85"/>
        <v>4403136</v>
      </c>
      <c r="X220" s="55" t="s">
        <v>510</v>
      </c>
      <c r="Y220" s="55"/>
      <c r="Z220" s="31">
        <v>78</v>
      </c>
    </row>
    <row r="221" spans="1:26" ht="12.75" hidden="1" outlineLevel="2" x14ac:dyDescent="0.2">
      <c r="A221" s="251" t="s">
        <v>384</v>
      </c>
      <c r="B221" s="251" t="s">
        <v>385</v>
      </c>
      <c r="C221" s="251" t="s">
        <v>165</v>
      </c>
      <c r="D221" s="251" t="s">
        <v>150</v>
      </c>
      <c r="E221" s="252" t="s">
        <v>17</v>
      </c>
      <c r="F221" s="253" t="s">
        <v>290</v>
      </c>
      <c r="G221" s="267">
        <v>2</v>
      </c>
      <c r="H221" s="267">
        <v>11</v>
      </c>
      <c r="I221" s="259">
        <v>103</v>
      </c>
      <c r="J221" s="259">
        <v>78</v>
      </c>
      <c r="K221" s="259">
        <v>13</v>
      </c>
      <c r="L221" s="259">
        <v>21</v>
      </c>
      <c r="M221" s="260">
        <f t="shared" si="44"/>
        <v>215</v>
      </c>
      <c r="N221" s="255">
        <v>5057</v>
      </c>
      <c r="O221" s="255">
        <v>5057</v>
      </c>
      <c r="P221" s="255">
        <v>5057</v>
      </c>
      <c r="Q221" s="255">
        <v>5057</v>
      </c>
      <c r="R221" s="262">
        <f t="shared" si="86"/>
        <v>1087255</v>
      </c>
      <c r="S221" s="269">
        <f t="shared" si="87"/>
        <v>468032</v>
      </c>
      <c r="T221" s="269">
        <f t="shared" si="88"/>
        <v>354432</v>
      </c>
      <c r="U221" s="269">
        <f t="shared" si="89"/>
        <v>59072</v>
      </c>
      <c r="V221" s="269">
        <f t="shared" si="90"/>
        <v>95424</v>
      </c>
      <c r="W221" s="262">
        <f t="shared" si="85"/>
        <v>976960</v>
      </c>
      <c r="X221" s="55" t="s">
        <v>510</v>
      </c>
      <c r="Y221" s="55"/>
      <c r="Z221" s="31">
        <v>79</v>
      </c>
    </row>
    <row r="222" spans="1:26" ht="12.75" hidden="1" outlineLevel="2" x14ac:dyDescent="0.2">
      <c r="A222" s="251" t="s">
        <v>384</v>
      </c>
      <c r="B222" s="251" t="s">
        <v>385</v>
      </c>
      <c r="C222" s="251" t="s">
        <v>165</v>
      </c>
      <c r="D222" s="251" t="s">
        <v>363</v>
      </c>
      <c r="E222" s="252" t="s">
        <v>37</v>
      </c>
      <c r="F222" s="253" t="s">
        <v>290</v>
      </c>
      <c r="G222" s="267">
        <v>2</v>
      </c>
      <c r="H222" s="267">
        <v>11</v>
      </c>
      <c r="I222" s="259">
        <v>84</v>
      </c>
      <c r="J222" s="259">
        <v>33</v>
      </c>
      <c r="K222" s="259">
        <v>15</v>
      </c>
      <c r="L222" s="259">
        <v>18</v>
      </c>
      <c r="M222" s="260">
        <f t="shared" si="44"/>
        <v>150</v>
      </c>
      <c r="N222" s="255">
        <v>5057</v>
      </c>
      <c r="O222" s="255">
        <v>5057</v>
      </c>
      <c r="P222" s="255">
        <v>5057</v>
      </c>
      <c r="Q222" s="255">
        <v>5057</v>
      </c>
      <c r="R222" s="262">
        <f t="shared" si="86"/>
        <v>758550</v>
      </c>
      <c r="S222" s="269">
        <f t="shared" si="87"/>
        <v>381696</v>
      </c>
      <c r="T222" s="269">
        <f t="shared" si="88"/>
        <v>149952</v>
      </c>
      <c r="U222" s="269">
        <f t="shared" si="89"/>
        <v>68160</v>
      </c>
      <c r="V222" s="269">
        <f t="shared" si="90"/>
        <v>81792</v>
      </c>
      <c r="W222" s="262">
        <f t="shared" si="85"/>
        <v>681600</v>
      </c>
      <c r="X222" s="55" t="s">
        <v>510</v>
      </c>
      <c r="Y222" s="55"/>
      <c r="Z222" s="31">
        <v>80</v>
      </c>
    </row>
    <row r="223" spans="1:26" ht="12.75" hidden="1" outlineLevel="2" x14ac:dyDescent="0.2">
      <c r="A223" s="251" t="s">
        <v>384</v>
      </c>
      <c r="B223" s="251" t="s">
        <v>385</v>
      </c>
      <c r="C223" s="251" t="s">
        <v>165</v>
      </c>
      <c r="D223" s="251" t="s">
        <v>364</v>
      </c>
      <c r="E223" s="252" t="s">
        <v>37</v>
      </c>
      <c r="F223" s="253" t="s">
        <v>290</v>
      </c>
      <c r="G223" s="267">
        <v>2</v>
      </c>
      <c r="H223" s="267">
        <v>11</v>
      </c>
      <c r="I223" s="268">
        <v>2</v>
      </c>
      <c r="J223" s="268">
        <v>2</v>
      </c>
      <c r="K223" s="259">
        <v>3</v>
      </c>
      <c r="L223" s="259">
        <v>4</v>
      </c>
      <c r="M223" s="260">
        <f t="shared" si="44"/>
        <v>11</v>
      </c>
      <c r="N223" s="255">
        <v>5057</v>
      </c>
      <c r="O223" s="255">
        <v>5057</v>
      </c>
      <c r="P223" s="255">
        <v>5057</v>
      </c>
      <c r="Q223" s="255">
        <v>5057</v>
      </c>
      <c r="R223" s="262">
        <f t="shared" si="86"/>
        <v>55627</v>
      </c>
      <c r="S223" s="269">
        <f t="shared" si="87"/>
        <v>9088</v>
      </c>
      <c r="T223" s="269">
        <f t="shared" si="88"/>
        <v>9088</v>
      </c>
      <c r="U223" s="269">
        <f t="shared" si="89"/>
        <v>13632</v>
      </c>
      <c r="V223" s="269">
        <f t="shared" si="90"/>
        <v>18176</v>
      </c>
      <c r="W223" s="262">
        <f t="shared" si="85"/>
        <v>49984</v>
      </c>
      <c r="X223" s="55" t="s">
        <v>510</v>
      </c>
      <c r="Y223" s="224"/>
      <c r="Z223" s="31">
        <v>81</v>
      </c>
    </row>
    <row r="224" spans="1:26" ht="12.75" hidden="1" outlineLevel="2" x14ac:dyDescent="0.2">
      <c r="A224" s="251" t="s">
        <v>384</v>
      </c>
      <c r="B224" s="251" t="s">
        <v>385</v>
      </c>
      <c r="C224" s="251" t="s">
        <v>496</v>
      </c>
      <c r="D224" s="300" t="s">
        <v>503</v>
      </c>
      <c r="E224" s="301" t="s">
        <v>291</v>
      </c>
      <c r="F224" s="253" t="s">
        <v>108</v>
      </c>
      <c r="G224" s="267">
        <v>2</v>
      </c>
      <c r="H224" s="267">
        <v>11</v>
      </c>
      <c r="I224" s="268">
        <v>5</v>
      </c>
      <c r="J224" s="268">
        <v>159</v>
      </c>
      <c r="K224" s="259">
        <v>146</v>
      </c>
      <c r="L224" s="259">
        <v>181</v>
      </c>
      <c r="M224" s="260">
        <f t="shared" si="44"/>
        <v>491</v>
      </c>
      <c r="N224" s="255">
        <v>5057</v>
      </c>
      <c r="O224" s="255">
        <v>5057</v>
      </c>
      <c r="P224" s="255">
        <v>5057</v>
      </c>
      <c r="Q224" s="255">
        <v>5057</v>
      </c>
      <c r="R224" s="262">
        <f t="shared" si="86"/>
        <v>2482987</v>
      </c>
      <c r="S224" s="269">
        <f t="shared" si="87"/>
        <v>22720</v>
      </c>
      <c r="T224" s="269">
        <f t="shared" si="88"/>
        <v>722496</v>
      </c>
      <c r="U224" s="269">
        <f t="shared" si="89"/>
        <v>663424</v>
      </c>
      <c r="V224" s="269">
        <f t="shared" si="90"/>
        <v>822464</v>
      </c>
      <c r="W224" s="262">
        <f t="shared" ref="W224:W229" si="91">SUM(S224:V224)</f>
        <v>2231104</v>
      </c>
      <c r="X224" s="55" t="s">
        <v>509</v>
      </c>
      <c r="Y224" s="224"/>
    </row>
    <row r="225" spans="1:26" ht="12.75" hidden="1" outlineLevel="2" x14ac:dyDescent="0.2">
      <c r="A225" s="251" t="s">
        <v>384</v>
      </c>
      <c r="B225" s="251" t="s">
        <v>385</v>
      </c>
      <c r="C225" s="251" t="s">
        <v>496</v>
      </c>
      <c r="D225" s="300" t="s">
        <v>504</v>
      </c>
      <c r="E225" s="301" t="s">
        <v>16</v>
      </c>
      <c r="F225" s="253" t="s">
        <v>108</v>
      </c>
      <c r="G225" s="267">
        <v>2</v>
      </c>
      <c r="H225" s="267">
        <v>11</v>
      </c>
      <c r="I225" s="268">
        <v>18</v>
      </c>
      <c r="J225" s="268">
        <v>191</v>
      </c>
      <c r="K225" s="259">
        <v>137</v>
      </c>
      <c r="L225" s="259">
        <v>233</v>
      </c>
      <c r="M225" s="260">
        <f t="shared" si="44"/>
        <v>579</v>
      </c>
      <c r="N225" s="255">
        <v>5057</v>
      </c>
      <c r="O225" s="255">
        <v>5057</v>
      </c>
      <c r="P225" s="255">
        <v>5057</v>
      </c>
      <c r="Q225" s="255">
        <v>5057</v>
      </c>
      <c r="R225" s="262">
        <f t="shared" si="86"/>
        <v>2928003</v>
      </c>
      <c r="S225" s="269">
        <f t="shared" si="87"/>
        <v>81792</v>
      </c>
      <c r="T225" s="269">
        <f t="shared" si="88"/>
        <v>867904</v>
      </c>
      <c r="U225" s="269">
        <f t="shared" si="89"/>
        <v>622528</v>
      </c>
      <c r="V225" s="269">
        <f t="shared" si="90"/>
        <v>1058752</v>
      </c>
      <c r="W225" s="262">
        <f t="shared" si="91"/>
        <v>2630976</v>
      </c>
      <c r="X225" s="55" t="s">
        <v>509</v>
      </c>
      <c r="Y225" s="224"/>
    </row>
    <row r="226" spans="1:26" ht="12.75" hidden="1" outlineLevel="2" x14ac:dyDescent="0.2">
      <c r="A226" s="251" t="s">
        <v>384</v>
      </c>
      <c r="B226" s="251" t="s">
        <v>385</v>
      </c>
      <c r="C226" s="251" t="s">
        <v>496</v>
      </c>
      <c r="D226" s="300" t="s">
        <v>505</v>
      </c>
      <c r="E226" s="301" t="s">
        <v>16</v>
      </c>
      <c r="F226" s="253" t="s">
        <v>106</v>
      </c>
      <c r="G226" s="267">
        <v>2</v>
      </c>
      <c r="H226" s="267">
        <v>11</v>
      </c>
      <c r="I226" s="268">
        <v>49</v>
      </c>
      <c r="J226" s="268">
        <v>591</v>
      </c>
      <c r="K226" s="259">
        <v>717</v>
      </c>
      <c r="L226" s="259">
        <v>1040</v>
      </c>
      <c r="M226" s="260">
        <f t="shared" si="44"/>
        <v>2397</v>
      </c>
      <c r="N226" s="255">
        <v>5057</v>
      </c>
      <c r="O226" s="255">
        <v>5057</v>
      </c>
      <c r="P226" s="255">
        <v>5057</v>
      </c>
      <c r="Q226" s="255">
        <v>5057</v>
      </c>
      <c r="R226" s="262">
        <f t="shared" si="86"/>
        <v>12121629</v>
      </c>
      <c r="S226" s="269">
        <f t="shared" si="87"/>
        <v>222656</v>
      </c>
      <c r="T226" s="269">
        <f t="shared" si="88"/>
        <v>2685504</v>
      </c>
      <c r="U226" s="269">
        <f t="shared" si="89"/>
        <v>3258048</v>
      </c>
      <c r="V226" s="269">
        <f t="shared" si="90"/>
        <v>4725760</v>
      </c>
      <c r="W226" s="262">
        <f t="shared" si="91"/>
        <v>10891968</v>
      </c>
      <c r="X226" s="55" t="s">
        <v>509</v>
      </c>
      <c r="Y226" s="224"/>
    </row>
    <row r="227" spans="1:26" ht="12.75" hidden="1" outlineLevel="2" x14ac:dyDescent="0.2">
      <c r="A227" s="251" t="s">
        <v>384</v>
      </c>
      <c r="B227" s="251" t="s">
        <v>385</v>
      </c>
      <c r="C227" s="251" t="s">
        <v>496</v>
      </c>
      <c r="D227" s="300" t="s">
        <v>506</v>
      </c>
      <c r="E227" s="301" t="s">
        <v>17</v>
      </c>
      <c r="F227" s="253" t="s">
        <v>290</v>
      </c>
      <c r="G227" s="267">
        <v>2</v>
      </c>
      <c r="H227" s="267">
        <v>11</v>
      </c>
      <c r="I227" s="268">
        <v>5</v>
      </c>
      <c r="J227" s="268">
        <v>110</v>
      </c>
      <c r="K227" s="259">
        <v>180</v>
      </c>
      <c r="L227" s="259">
        <v>240</v>
      </c>
      <c r="M227" s="260">
        <f t="shared" si="44"/>
        <v>535</v>
      </c>
      <c r="N227" s="255">
        <v>5057</v>
      </c>
      <c r="O227" s="255">
        <v>5057</v>
      </c>
      <c r="P227" s="255">
        <v>5057</v>
      </c>
      <c r="Q227" s="255">
        <v>5057</v>
      </c>
      <c r="R227" s="262">
        <f t="shared" si="86"/>
        <v>2705495</v>
      </c>
      <c r="S227" s="269">
        <f t="shared" si="87"/>
        <v>22720</v>
      </c>
      <c r="T227" s="269">
        <f t="shared" si="88"/>
        <v>499840</v>
      </c>
      <c r="U227" s="269">
        <f t="shared" si="89"/>
        <v>817920</v>
      </c>
      <c r="V227" s="269">
        <f t="shared" si="90"/>
        <v>1090560</v>
      </c>
      <c r="W227" s="262">
        <f t="shared" si="91"/>
        <v>2431040</v>
      </c>
      <c r="X227" s="55" t="s">
        <v>509</v>
      </c>
      <c r="Y227" s="224"/>
    </row>
    <row r="228" spans="1:26" ht="12.75" hidden="1" outlineLevel="2" x14ac:dyDescent="0.2">
      <c r="A228" s="251" t="s">
        <v>384</v>
      </c>
      <c r="B228" s="251" t="s">
        <v>385</v>
      </c>
      <c r="C228" s="251" t="s">
        <v>496</v>
      </c>
      <c r="D228" s="300" t="s">
        <v>507</v>
      </c>
      <c r="E228" s="301" t="s">
        <v>37</v>
      </c>
      <c r="F228" s="253" t="s">
        <v>290</v>
      </c>
      <c r="G228" s="267">
        <v>2</v>
      </c>
      <c r="H228" s="267">
        <v>11</v>
      </c>
      <c r="I228" s="268">
        <v>5</v>
      </c>
      <c r="J228" s="268">
        <v>28</v>
      </c>
      <c r="K228" s="259">
        <v>12</v>
      </c>
      <c r="L228" s="259">
        <v>27</v>
      </c>
      <c r="M228" s="260">
        <f t="shared" si="44"/>
        <v>72</v>
      </c>
      <c r="N228" s="255">
        <v>5057</v>
      </c>
      <c r="O228" s="255">
        <v>5057</v>
      </c>
      <c r="P228" s="255">
        <v>5057</v>
      </c>
      <c r="Q228" s="255">
        <v>5057</v>
      </c>
      <c r="R228" s="262">
        <f t="shared" si="86"/>
        <v>364104</v>
      </c>
      <c r="S228" s="269">
        <f t="shared" si="87"/>
        <v>22720</v>
      </c>
      <c r="T228" s="269">
        <f t="shared" si="88"/>
        <v>127232</v>
      </c>
      <c r="U228" s="269">
        <f t="shared" si="89"/>
        <v>54528</v>
      </c>
      <c r="V228" s="269">
        <f t="shared" si="90"/>
        <v>122688</v>
      </c>
      <c r="W228" s="262">
        <f t="shared" si="91"/>
        <v>327168</v>
      </c>
      <c r="X228" s="55" t="s">
        <v>509</v>
      </c>
      <c r="Y228" s="224"/>
    </row>
    <row r="229" spans="1:26" ht="12.75" hidden="1" outlineLevel="2" x14ac:dyDescent="0.2">
      <c r="A229" s="251" t="s">
        <v>384</v>
      </c>
      <c r="B229" s="251" t="s">
        <v>385</v>
      </c>
      <c r="C229" s="251" t="s">
        <v>496</v>
      </c>
      <c r="D229" s="300" t="s">
        <v>508</v>
      </c>
      <c r="E229" s="301" t="s">
        <v>37</v>
      </c>
      <c r="F229" s="253" t="s">
        <v>290</v>
      </c>
      <c r="G229" s="267">
        <v>2</v>
      </c>
      <c r="H229" s="267">
        <v>11</v>
      </c>
      <c r="I229" s="268">
        <v>1</v>
      </c>
      <c r="J229" s="268">
        <v>22</v>
      </c>
      <c r="K229" s="259">
        <v>23</v>
      </c>
      <c r="L229" s="259">
        <v>39</v>
      </c>
      <c r="M229" s="260">
        <f t="shared" si="44"/>
        <v>85</v>
      </c>
      <c r="N229" s="255">
        <v>5057</v>
      </c>
      <c r="O229" s="255">
        <v>5057</v>
      </c>
      <c r="P229" s="255">
        <v>5057</v>
      </c>
      <c r="Q229" s="255">
        <v>5057</v>
      </c>
      <c r="R229" s="262">
        <f t="shared" si="86"/>
        <v>429845</v>
      </c>
      <c r="S229" s="269">
        <f t="shared" si="87"/>
        <v>4544</v>
      </c>
      <c r="T229" s="269">
        <f t="shared" si="88"/>
        <v>99968</v>
      </c>
      <c r="U229" s="269">
        <f t="shared" si="89"/>
        <v>104512</v>
      </c>
      <c r="V229" s="269">
        <f t="shared" si="90"/>
        <v>177216</v>
      </c>
      <c r="W229" s="262">
        <f t="shared" si="91"/>
        <v>386240</v>
      </c>
      <c r="X229" s="55" t="s">
        <v>509</v>
      </c>
      <c r="Y229" s="224"/>
    </row>
    <row r="230" spans="1:26" ht="12.75" hidden="1" outlineLevel="2" x14ac:dyDescent="0.2">
      <c r="A230" s="251" t="s">
        <v>388</v>
      </c>
      <c r="B230" s="251" t="s">
        <v>95</v>
      </c>
      <c r="C230" s="251" t="s">
        <v>365</v>
      </c>
      <c r="D230" s="251" t="s">
        <v>366</v>
      </c>
      <c r="E230" s="252" t="s">
        <v>16</v>
      </c>
      <c r="F230" s="253" t="s">
        <v>108</v>
      </c>
      <c r="G230" s="267">
        <v>2</v>
      </c>
      <c r="H230" s="267">
        <v>12</v>
      </c>
      <c r="I230" s="268"/>
      <c r="J230" s="268"/>
      <c r="K230" s="259"/>
      <c r="L230" s="259"/>
      <c r="M230" s="260">
        <f t="shared" si="44"/>
        <v>0</v>
      </c>
      <c r="N230" s="255">
        <v>4350</v>
      </c>
      <c r="O230" s="255">
        <v>4350</v>
      </c>
      <c r="P230" s="255">
        <v>4402</v>
      </c>
      <c r="Q230" s="255">
        <v>4402</v>
      </c>
      <c r="R230" s="262">
        <f t="shared" si="86"/>
        <v>0</v>
      </c>
      <c r="S230" s="269">
        <f t="shared" si="87"/>
        <v>0</v>
      </c>
      <c r="T230" s="269">
        <f t="shared" si="88"/>
        <v>0</v>
      </c>
      <c r="U230" s="269">
        <f t="shared" si="89"/>
        <v>0</v>
      </c>
      <c r="V230" s="269">
        <f t="shared" si="90"/>
        <v>0</v>
      </c>
      <c r="W230" s="262">
        <f t="shared" si="85"/>
        <v>0</v>
      </c>
      <c r="X230" s="55"/>
      <c r="Y230" s="224"/>
      <c r="Z230" s="31">
        <v>82</v>
      </c>
    </row>
    <row r="231" spans="1:26" ht="12.75" hidden="1" outlineLevel="2" x14ac:dyDescent="0.2">
      <c r="A231" s="251" t="s">
        <v>388</v>
      </c>
      <c r="B231" s="251" t="s">
        <v>95</v>
      </c>
      <c r="C231" s="251" t="s">
        <v>365</v>
      </c>
      <c r="D231" s="251" t="s">
        <v>367</v>
      </c>
      <c r="E231" s="252" t="s">
        <v>16</v>
      </c>
      <c r="F231" s="253" t="s">
        <v>108</v>
      </c>
      <c r="G231" s="267">
        <v>2</v>
      </c>
      <c r="H231" s="267">
        <v>12</v>
      </c>
      <c r="I231" s="268">
        <v>230</v>
      </c>
      <c r="J231" s="268">
        <v>115</v>
      </c>
      <c r="K231" s="259">
        <v>70</v>
      </c>
      <c r="L231" s="259">
        <v>161</v>
      </c>
      <c r="M231" s="260">
        <f t="shared" si="44"/>
        <v>576</v>
      </c>
      <c r="N231" s="255">
        <v>4350</v>
      </c>
      <c r="O231" s="255">
        <v>4350</v>
      </c>
      <c r="P231" s="255">
        <v>4402</v>
      </c>
      <c r="Q231" s="255">
        <v>4402</v>
      </c>
      <c r="R231" s="262">
        <f t="shared" si="86"/>
        <v>2517612</v>
      </c>
      <c r="S231" s="269">
        <f t="shared" si="87"/>
        <v>1000500</v>
      </c>
      <c r="T231" s="269">
        <f t="shared" si="88"/>
        <v>500250</v>
      </c>
      <c r="U231" s="269">
        <f t="shared" si="89"/>
        <v>308140</v>
      </c>
      <c r="V231" s="269">
        <f t="shared" si="90"/>
        <v>708722</v>
      </c>
      <c r="W231" s="262">
        <f t="shared" si="85"/>
        <v>2517612</v>
      </c>
      <c r="X231" s="55"/>
      <c r="Y231" s="224"/>
      <c r="Z231" s="31">
        <v>83</v>
      </c>
    </row>
    <row r="232" spans="1:26" ht="12.75" hidden="1" outlineLevel="2" x14ac:dyDescent="0.2">
      <c r="A232" s="251" t="s">
        <v>388</v>
      </c>
      <c r="B232" s="251" t="s">
        <v>95</v>
      </c>
      <c r="C232" s="251" t="s">
        <v>365</v>
      </c>
      <c r="D232" s="251" t="s">
        <v>368</v>
      </c>
      <c r="E232" s="252" t="s">
        <v>16</v>
      </c>
      <c r="F232" s="253" t="s">
        <v>108</v>
      </c>
      <c r="G232" s="267">
        <v>2</v>
      </c>
      <c r="H232" s="267">
        <v>12</v>
      </c>
      <c r="I232" s="268">
        <v>168</v>
      </c>
      <c r="J232" s="268">
        <v>148</v>
      </c>
      <c r="K232" s="259">
        <v>86</v>
      </c>
      <c r="L232" s="259">
        <v>167</v>
      </c>
      <c r="M232" s="260">
        <f t="shared" si="44"/>
        <v>569</v>
      </c>
      <c r="N232" s="255">
        <v>4350</v>
      </c>
      <c r="O232" s="255">
        <v>4350</v>
      </c>
      <c r="P232" s="255">
        <v>4402</v>
      </c>
      <c r="Q232" s="255">
        <v>4402</v>
      </c>
      <c r="R232" s="262">
        <f t="shared" si="86"/>
        <v>2488306</v>
      </c>
      <c r="S232" s="269">
        <f t="shared" si="87"/>
        <v>730800</v>
      </c>
      <c r="T232" s="269">
        <f t="shared" si="88"/>
        <v>643800</v>
      </c>
      <c r="U232" s="269">
        <f t="shared" si="89"/>
        <v>378572</v>
      </c>
      <c r="V232" s="269">
        <f t="shared" si="90"/>
        <v>735134</v>
      </c>
      <c r="W232" s="262">
        <f t="shared" si="85"/>
        <v>2488306</v>
      </c>
      <c r="X232" s="55"/>
      <c r="Y232" s="224"/>
      <c r="Z232" s="31">
        <v>84</v>
      </c>
    </row>
    <row r="233" spans="1:26" ht="12.75" hidden="1" outlineLevel="2" x14ac:dyDescent="0.2">
      <c r="A233" s="251" t="s">
        <v>388</v>
      </c>
      <c r="B233" s="251" t="s">
        <v>95</v>
      </c>
      <c r="C233" s="251" t="s">
        <v>365</v>
      </c>
      <c r="D233" s="251" t="s">
        <v>369</v>
      </c>
      <c r="E233" s="252" t="s">
        <v>16</v>
      </c>
      <c r="F233" s="253" t="s">
        <v>106</v>
      </c>
      <c r="G233" s="267">
        <v>2</v>
      </c>
      <c r="H233" s="267">
        <v>12</v>
      </c>
      <c r="I233" s="268">
        <v>582</v>
      </c>
      <c r="J233" s="268">
        <v>484</v>
      </c>
      <c r="K233" s="259">
        <v>266</v>
      </c>
      <c r="L233" s="259">
        <v>209</v>
      </c>
      <c r="M233" s="260">
        <f t="shared" si="44"/>
        <v>1541</v>
      </c>
      <c r="N233" s="255">
        <v>4350</v>
      </c>
      <c r="O233" s="255">
        <v>4350</v>
      </c>
      <c r="P233" s="255">
        <v>4402</v>
      </c>
      <c r="Q233" s="255">
        <v>4402</v>
      </c>
      <c r="R233" s="262">
        <f t="shared" si="86"/>
        <v>6728050</v>
      </c>
      <c r="S233" s="269">
        <f t="shared" si="87"/>
        <v>2531700</v>
      </c>
      <c r="T233" s="269">
        <f t="shared" si="88"/>
        <v>2105400</v>
      </c>
      <c r="U233" s="269">
        <f t="shared" si="89"/>
        <v>1170932</v>
      </c>
      <c r="V233" s="269">
        <f t="shared" si="90"/>
        <v>920018</v>
      </c>
      <c r="W233" s="262">
        <f t="shared" si="85"/>
        <v>6728050</v>
      </c>
      <c r="X233" s="55"/>
      <c r="Y233" s="224"/>
      <c r="Z233" s="31">
        <v>85</v>
      </c>
    </row>
    <row r="234" spans="1:26" ht="12.75" hidden="1" outlineLevel="2" x14ac:dyDescent="0.2">
      <c r="A234" s="251" t="s">
        <v>388</v>
      </c>
      <c r="B234" s="251" t="s">
        <v>95</v>
      </c>
      <c r="C234" s="251" t="s">
        <v>365</v>
      </c>
      <c r="D234" s="251" t="s">
        <v>370</v>
      </c>
      <c r="E234" s="252" t="s">
        <v>17</v>
      </c>
      <c r="F234" s="253" t="s">
        <v>290</v>
      </c>
      <c r="G234" s="267">
        <v>2</v>
      </c>
      <c r="H234" s="267">
        <v>12</v>
      </c>
      <c r="I234" s="268">
        <v>62</v>
      </c>
      <c r="J234" s="268">
        <v>93</v>
      </c>
      <c r="K234" s="259">
        <v>70</v>
      </c>
      <c r="L234" s="259">
        <v>74</v>
      </c>
      <c r="M234" s="260">
        <f t="shared" si="44"/>
        <v>299</v>
      </c>
      <c r="N234" s="255">
        <v>4350</v>
      </c>
      <c r="O234" s="255">
        <v>4350</v>
      </c>
      <c r="P234" s="255">
        <v>4402</v>
      </c>
      <c r="Q234" s="255">
        <v>4402</v>
      </c>
      <c r="R234" s="262">
        <f t="shared" si="86"/>
        <v>1308138</v>
      </c>
      <c r="S234" s="269">
        <f t="shared" si="87"/>
        <v>269700</v>
      </c>
      <c r="T234" s="269">
        <f t="shared" si="88"/>
        <v>404550</v>
      </c>
      <c r="U234" s="269">
        <f t="shared" si="89"/>
        <v>308140</v>
      </c>
      <c r="V234" s="269">
        <f t="shared" si="90"/>
        <v>325748</v>
      </c>
      <c r="W234" s="262">
        <f t="shared" si="85"/>
        <v>1308138</v>
      </c>
      <c r="X234" s="55"/>
      <c r="Y234" s="224"/>
      <c r="Z234" s="31">
        <v>86</v>
      </c>
    </row>
    <row r="235" spans="1:26" ht="12.75" hidden="1" outlineLevel="2" x14ac:dyDescent="0.2">
      <c r="A235" s="251" t="s">
        <v>388</v>
      </c>
      <c r="B235" s="251" t="s">
        <v>95</v>
      </c>
      <c r="C235" s="251" t="s">
        <v>365</v>
      </c>
      <c r="D235" s="251" t="s">
        <v>371</v>
      </c>
      <c r="E235" s="252" t="s">
        <v>17</v>
      </c>
      <c r="F235" s="253" t="s">
        <v>290</v>
      </c>
      <c r="G235" s="267">
        <v>2</v>
      </c>
      <c r="H235" s="267">
        <v>12</v>
      </c>
      <c r="I235" s="268">
        <v>188</v>
      </c>
      <c r="J235" s="268">
        <v>352</v>
      </c>
      <c r="K235" s="259">
        <v>216</v>
      </c>
      <c r="L235" s="259">
        <v>235</v>
      </c>
      <c r="M235" s="260">
        <f t="shared" si="44"/>
        <v>991</v>
      </c>
      <c r="N235" s="255">
        <v>4350</v>
      </c>
      <c r="O235" s="255">
        <v>4350</v>
      </c>
      <c r="P235" s="255">
        <v>4402</v>
      </c>
      <c r="Q235" s="255">
        <v>4402</v>
      </c>
      <c r="R235" s="262">
        <f t="shared" si="86"/>
        <v>4334302</v>
      </c>
      <c r="S235" s="269">
        <f t="shared" si="87"/>
        <v>817800</v>
      </c>
      <c r="T235" s="269">
        <f t="shared" si="88"/>
        <v>1531200</v>
      </c>
      <c r="U235" s="269">
        <f t="shared" si="89"/>
        <v>950832</v>
      </c>
      <c r="V235" s="269">
        <f t="shared" si="90"/>
        <v>1034470</v>
      </c>
      <c r="W235" s="262">
        <f t="shared" si="85"/>
        <v>4334302</v>
      </c>
      <c r="X235" s="55"/>
      <c r="Y235" s="224"/>
      <c r="Z235" s="31">
        <v>87</v>
      </c>
    </row>
    <row r="236" spans="1:26" ht="12.75" hidden="1" outlineLevel="2" x14ac:dyDescent="0.2">
      <c r="A236" s="251" t="s">
        <v>388</v>
      </c>
      <c r="B236" s="251" t="s">
        <v>95</v>
      </c>
      <c r="C236" s="251" t="s">
        <v>365</v>
      </c>
      <c r="D236" s="251" t="s">
        <v>372</v>
      </c>
      <c r="E236" s="252" t="s">
        <v>17</v>
      </c>
      <c r="F236" s="253" t="s">
        <v>290</v>
      </c>
      <c r="G236" s="267">
        <v>2</v>
      </c>
      <c r="H236" s="267">
        <v>12</v>
      </c>
      <c r="I236" s="259">
        <v>85</v>
      </c>
      <c r="J236" s="259">
        <v>73</v>
      </c>
      <c r="K236" s="259">
        <v>74</v>
      </c>
      <c r="L236" s="259">
        <v>65</v>
      </c>
      <c r="M236" s="260">
        <f>SUM(I236:L236)</f>
        <v>297</v>
      </c>
      <c r="N236" s="255">
        <v>4350</v>
      </c>
      <c r="O236" s="255">
        <v>4350</v>
      </c>
      <c r="P236" s="255">
        <v>4402</v>
      </c>
      <c r="Q236" s="255">
        <v>4402</v>
      </c>
      <c r="R236" s="262">
        <f t="shared" si="86"/>
        <v>1299178</v>
      </c>
      <c r="S236" s="269">
        <f t="shared" si="87"/>
        <v>369750</v>
      </c>
      <c r="T236" s="269">
        <f t="shared" si="88"/>
        <v>317550</v>
      </c>
      <c r="U236" s="269">
        <f t="shared" si="89"/>
        <v>325748</v>
      </c>
      <c r="V236" s="269">
        <f t="shared" si="90"/>
        <v>286130</v>
      </c>
      <c r="W236" s="262">
        <f>SUM(S236:V236)</f>
        <v>1299178</v>
      </c>
      <c r="X236" s="55"/>
      <c r="Y236" s="55"/>
      <c r="Z236" s="31">
        <v>88</v>
      </c>
    </row>
    <row r="237" spans="1:26" ht="12.75" hidden="1" outlineLevel="2" x14ac:dyDescent="0.2">
      <c r="A237" s="251" t="s">
        <v>388</v>
      </c>
      <c r="B237" s="251" t="s">
        <v>95</v>
      </c>
      <c r="C237" s="251" t="s">
        <v>373</v>
      </c>
      <c r="D237" s="251" t="s">
        <v>366</v>
      </c>
      <c r="E237" s="252" t="s">
        <v>16</v>
      </c>
      <c r="F237" s="253" t="s">
        <v>108</v>
      </c>
      <c r="G237" s="267">
        <v>2</v>
      </c>
      <c r="H237" s="267">
        <v>12</v>
      </c>
      <c r="I237" s="259"/>
      <c r="J237" s="259"/>
      <c r="K237" s="259"/>
      <c r="L237" s="259"/>
      <c r="M237" s="260">
        <f>SUM(I237:L237)</f>
        <v>0</v>
      </c>
      <c r="N237" s="255">
        <v>4350</v>
      </c>
      <c r="O237" s="255">
        <v>4350</v>
      </c>
      <c r="P237" s="255">
        <v>4402</v>
      </c>
      <c r="Q237" s="255">
        <v>4402</v>
      </c>
      <c r="R237" s="262">
        <f t="shared" si="86"/>
        <v>0</v>
      </c>
      <c r="S237" s="269">
        <f t="shared" si="87"/>
        <v>0</v>
      </c>
      <c r="T237" s="269">
        <f t="shared" si="88"/>
        <v>0</v>
      </c>
      <c r="U237" s="269">
        <f t="shared" si="89"/>
        <v>0</v>
      </c>
      <c r="V237" s="269">
        <f t="shared" si="90"/>
        <v>0</v>
      </c>
      <c r="W237" s="262">
        <f>SUM(S237:V237)</f>
        <v>0</v>
      </c>
      <c r="X237" s="55"/>
      <c r="Y237" s="55"/>
      <c r="Z237" s="31">
        <v>89</v>
      </c>
    </row>
    <row r="238" spans="1:26" ht="12.75" hidden="1" outlineLevel="2" x14ac:dyDescent="0.2">
      <c r="A238" s="251" t="s">
        <v>388</v>
      </c>
      <c r="B238" s="251" t="s">
        <v>95</v>
      </c>
      <c r="C238" s="251" t="s">
        <v>365</v>
      </c>
      <c r="D238" s="251" t="s">
        <v>367</v>
      </c>
      <c r="E238" s="252" t="s">
        <v>16</v>
      </c>
      <c r="F238" s="253" t="s">
        <v>108</v>
      </c>
      <c r="G238" s="267">
        <v>2</v>
      </c>
      <c r="H238" s="267">
        <v>12</v>
      </c>
      <c r="I238" s="259"/>
      <c r="J238" s="259"/>
      <c r="K238" s="259"/>
      <c r="L238" s="259"/>
      <c r="M238" s="260">
        <f>SUM(I238:L238)</f>
        <v>0</v>
      </c>
      <c r="N238" s="255">
        <v>4350</v>
      </c>
      <c r="O238" s="255">
        <v>4350</v>
      </c>
      <c r="P238" s="255">
        <v>4402</v>
      </c>
      <c r="Q238" s="255">
        <v>4402</v>
      </c>
      <c r="R238" s="262">
        <f t="shared" si="86"/>
        <v>0</v>
      </c>
      <c r="S238" s="269">
        <f t="shared" si="87"/>
        <v>0</v>
      </c>
      <c r="T238" s="269">
        <f t="shared" si="88"/>
        <v>0</v>
      </c>
      <c r="U238" s="269">
        <f t="shared" si="89"/>
        <v>0</v>
      </c>
      <c r="V238" s="269">
        <f t="shared" si="90"/>
        <v>0</v>
      </c>
      <c r="W238" s="262">
        <f>SUM(S238:V238)</f>
        <v>0</v>
      </c>
      <c r="X238" s="55"/>
      <c r="Y238" s="55"/>
      <c r="Z238" s="31">
        <v>90</v>
      </c>
    </row>
    <row r="239" spans="1:26" ht="12.75" hidden="1" outlineLevel="2" x14ac:dyDescent="0.2">
      <c r="A239" s="251" t="s">
        <v>388</v>
      </c>
      <c r="B239" s="251" t="s">
        <v>95</v>
      </c>
      <c r="C239" s="251" t="s">
        <v>365</v>
      </c>
      <c r="D239" s="251" t="s">
        <v>368</v>
      </c>
      <c r="E239" s="252" t="s">
        <v>16</v>
      </c>
      <c r="F239" s="253" t="s">
        <v>108</v>
      </c>
      <c r="G239" s="267">
        <v>2</v>
      </c>
      <c r="H239" s="267">
        <v>12</v>
      </c>
      <c r="I239" s="259"/>
      <c r="J239" s="259"/>
      <c r="K239" s="259"/>
      <c r="L239" s="259"/>
      <c r="M239" s="260">
        <f>SUM(I239:L239)</f>
        <v>0</v>
      </c>
      <c r="N239" s="255">
        <v>4350</v>
      </c>
      <c r="O239" s="255">
        <v>4350</v>
      </c>
      <c r="P239" s="255">
        <v>4402</v>
      </c>
      <c r="Q239" s="255">
        <v>4402</v>
      </c>
      <c r="R239" s="262">
        <f t="shared" si="86"/>
        <v>0</v>
      </c>
      <c r="S239" s="269">
        <f t="shared" si="87"/>
        <v>0</v>
      </c>
      <c r="T239" s="269">
        <f t="shared" si="88"/>
        <v>0</v>
      </c>
      <c r="U239" s="269">
        <f t="shared" si="89"/>
        <v>0</v>
      </c>
      <c r="V239" s="269">
        <f t="shared" si="90"/>
        <v>0</v>
      </c>
      <c r="W239" s="262">
        <f>SUM(S239:V239)</f>
        <v>0</v>
      </c>
      <c r="X239" s="55"/>
      <c r="Y239" s="55"/>
      <c r="Z239" s="31">
        <v>91</v>
      </c>
    </row>
    <row r="240" spans="1:26" ht="12.75" hidden="1" outlineLevel="2" x14ac:dyDescent="0.2">
      <c r="A240" s="251" t="s">
        <v>388</v>
      </c>
      <c r="B240" s="251" t="s">
        <v>95</v>
      </c>
      <c r="C240" s="251" t="s">
        <v>365</v>
      </c>
      <c r="D240" s="251" t="s">
        <v>374</v>
      </c>
      <c r="E240" s="252" t="s">
        <v>16</v>
      </c>
      <c r="F240" s="253" t="s">
        <v>106</v>
      </c>
      <c r="G240" s="267">
        <v>2</v>
      </c>
      <c r="H240" s="267">
        <v>12</v>
      </c>
      <c r="I240" s="259">
        <v>68</v>
      </c>
      <c r="J240" s="259">
        <v>60</v>
      </c>
      <c r="K240" s="259">
        <v>17</v>
      </c>
      <c r="L240" s="259">
        <v>15</v>
      </c>
      <c r="M240" s="260">
        <f>SUM(I240:L240)</f>
        <v>160</v>
      </c>
      <c r="N240" s="255">
        <v>4350</v>
      </c>
      <c r="O240" s="255">
        <v>4350</v>
      </c>
      <c r="P240" s="255">
        <v>4402</v>
      </c>
      <c r="Q240" s="255">
        <v>4402</v>
      </c>
      <c r="R240" s="262">
        <f t="shared" si="86"/>
        <v>697664</v>
      </c>
      <c r="S240" s="269">
        <f t="shared" si="87"/>
        <v>295800</v>
      </c>
      <c r="T240" s="269">
        <f t="shared" si="88"/>
        <v>261000</v>
      </c>
      <c r="U240" s="269">
        <f t="shared" si="89"/>
        <v>74834</v>
      </c>
      <c r="V240" s="269">
        <f t="shared" si="90"/>
        <v>66030</v>
      </c>
      <c r="W240" s="262">
        <f>SUM(S240:V240)</f>
        <v>697664</v>
      </c>
      <c r="X240" s="55"/>
      <c r="Y240" s="55"/>
      <c r="Z240" s="31">
        <v>92</v>
      </c>
    </row>
    <row r="241" spans="1:26" ht="12.75" hidden="1" outlineLevel="2" x14ac:dyDescent="0.2">
      <c r="A241" s="251" t="s">
        <v>388</v>
      </c>
      <c r="B241" s="251" t="s">
        <v>95</v>
      </c>
      <c r="C241" s="251" t="s">
        <v>365</v>
      </c>
      <c r="D241" s="251" t="s">
        <v>370</v>
      </c>
      <c r="E241" s="252" t="s">
        <v>17</v>
      </c>
      <c r="F241" s="253" t="s">
        <v>290</v>
      </c>
      <c r="G241" s="270">
        <v>2</v>
      </c>
      <c r="H241" s="270">
        <v>12</v>
      </c>
      <c r="I241" s="259"/>
      <c r="J241" s="259"/>
      <c r="K241" s="259"/>
      <c r="L241" s="259"/>
      <c r="M241" s="260">
        <f t="shared" si="44"/>
        <v>0</v>
      </c>
      <c r="N241" s="255">
        <v>4350</v>
      </c>
      <c r="O241" s="255">
        <v>4350</v>
      </c>
      <c r="P241" s="255">
        <v>4402</v>
      </c>
      <c r="Q241" s="255">
        <v>4402</v>
      </c>
      <c r="R241" s="262">
        <f t="shared" si="86"/>
        <v>0</v>
      </c>
      <c r="S241" s="269">
        <f t="shared" si="87"/>
        <v>0</v>
      </c>
      <c r="T241" s="269">
        <f t="shared" si="88"/>
        <v>0</v>
      </c>
      <c r="U241" s="269">
        <f t="shared" si="89"/>
        <v>0</v>
      </c>
      <c r="V241" s="269">
        <f t="shared" si="90"/>
        <v>0</v>
      </c>
      <c r="W241" s="262">
        <f t="shared" si="85"/>
        <v>0</v>
      </c>
      <c r="X241" s="55"/>
      <c r="Y241" s="224"/>
      <c r="Z241" s="31">
        <v>93</v>
      </c>
    </row>
    <row r="242" spans="1:26" ht="12.75" hidden="1" outlineLevel="2" x14ac:dyDescent="0.2">
      <c r="A242" s="251" t="s">
        <v>388</v>
      </c>
      <c r="B242" s="251" t="s">
        <v>95</v>
      </c>
      <c r="C242" s="251" t="s">
        <v>365</v>
      </c>
      <c r="D242" s="251" t="s">
        <v>371</v>
      </c>
      <c r="E242" s="252" t="s">
        <v>17</v>
      </c>
      <c r="F242" s="253" t="s">
        <v>290</v>
      </c>
      <c r="G242" s="270">
        <v>2</v>
      </c>
      <c r="H242" s="270">
        <v>12</v>
      </c>
      <c r="I242" s="259"/>
      <c r="J242" s="259"/>
      <c r="K242" s="259"/>
      <c r="L242" s="259"/>
      <c r="M242" s="260">
        <f t="shared" si="44"/>
        <v>0</v>
      </c>
      <c r="N242" s="255">
        <v>4350</v>
      </c>
      <c r="O242" s="255">
        <v>4350</v>
      </c>
      <c r="P242" s="255">
        <v>4402</v>
      </c>
      <c r="Q242" s="255">
        <v>4402</v>
      </c>
      <c r="R242" s="262">
        <f t="shared" si="86"/>
        <v>0</v>
      </c>
      <c r="S242" s="269">
        <f t="shared" si="87"/>
        <v>0</v>
      </c>
      <c r="T242" s="269">
        <f t="shared" si="88"/>
        <v>0</v>
      </c>
      <c r="U242" s="269">
        <f t="shared" si="89"/>
        <v>0</v>
      </c>
      <c r="V242" s="269">
        <f t="shared" si="90"/>
        <v>0</v>
      </c>
      <c r="W242" s="262">
        <f t="shared" si="85"/>
        <v>0</v>
      </c>
      <c r="X242" s="55"/>
      <c r="Y242" s="224"/>
      <c r="Z242" s="31">
        <v>94</v>
      </c>
    </row>
    <row r="243" spans="1:26" ht="12.75" hidden="1" outlineLevel="2" x14ac:dyDescent="0.2">
      <c r="A243" s="251" t="s">
        <v>388</v>
      </c>
      <c r="B243" s="251" t="s">
        <v>95</v>
      </c>
      <c r="C243" s="251" t="s">
        <v>365</v>
      </c>
      <c r="D243" s="251" t="s">
        <v>372</v>
      </c>
      <c r="E243" s="252" t="s">
        <v>17</v>
      </c>
      <c r="F243" s="253" t="s">
        <v>290</v>
      </c>
      <c r="G243" s="270">
        <v>2</v>
      </c>
      <c r="H243" s="270">
        <v>12</v>
      </c>
      <c r="I243" s="259"/>
      <c r="J243" s="259"/>
      <c r="K243" s="259"/>
      <c r="L243" s="259"/>
      <c r="M243" s="260">
        <f t="shared" si="44"/>
        <v>0</v>
      </c>
      <c r="N243" s="255">
        <v>4350</v>
      </c>
      <c r="O243" s="255">
        <v>4350</v>
      </c>
      <c r="P243" s="255">
        <v>4402</v>
      </c>
      <c r="Q243" s="255">
        <v>4402</v>
      </c>
      <c r="R243" s="262">
        <f t="shared" si="86"/>
        <v>0</v>
      </c>
      <c r="S243" s="269">
        <f t="shared" si="87"/>
        <v>0</v>
      </c>
      <c r="T243" s="269">
        <f t="shared" si="88"/>
        <v>0</v>
      </c>
      <c r="U243" s="269">
        <f t="shared" si="89"/>
        <v>0</v>
      </c>
      <c r="V243" s="269">
        <f t="shared" si="90"/>
        <v>0</v>
      </c>
      <c r="W243" s="262">
        <f t="shared" si="85"/>
        <v>0</v>
      </c>
      <c r="X243" s="55"/>
      <c r="Y243" s="55"/>
      <c r="Z243" s="31">
        <v>95</v>
      </c>
    </row>
    <row r="244" spans="1:26" ht="11.25" outlineLevel="1" collapsed="1" x14ac:dyDescent="0.2">
      <c r="D244" s="343" t="s">
        <v>644</v>
      </c>
      <c r="G244" s="416" t="s">
        <v>173</v>
      </c>
      <c r="H244" s="417"/>
      <c r="I244" s="31">
        <f>SUBTOTAL(9,I93:I243)</f>
        <v>10410</v>
      </c>
      <c r="J244" s="31">
        <f>SUBTOTAL(9,J93:J243)</f>
        <v>12694</v>
      </c>
      <c r="K244" s="31">
        <f>SUBTOTAL(9,K93:K243)</f>
        <v>9965</v>
      </c>
      <c r="L244" s="413">
        <f>SUBTOTAL(9,L93:L243)</f>
        <v>13817</v>
      </c>
      <c r="M244" s="214">
        <f>SUBTOTAL(9,M93:M243)</f>
        <v>46886</v>
      </c>
      <c r="R244" s="57">
        <f t="shared" ref="R244:W244" si="92">SUBTOTAL(9,R93:R243)</f>
        <v>183934938</v>
      </c>
      <c r="S244" s="414">
        <f t="shared" si="92"/>
        <v>39760392</v>
      </c>
      <c r="T244" s="414">
        <f t="shared" si="92"/>
        <v>48883058</v>
      </c>
      <c r="U244" s="414">
        <f t="shared" si="92"/>
        <v>38733791</v>
      </c>
      <c r="V244" s="414">
        <f t="shared" si="92"/>
        <v>53546387</v>
      </c>
      <c r="W244" s="57">
        <f t="shared" si="92"/>
        <v>180923628</v>
      </c>
      <c r="X244" s="213"/>
      <c r="Y244" s="367"/>
      <c r="Z244" s="31">
        <v>99</v>
      </c>
    </row>
    <row r="245" spans="1:26" outlineLevel="1" x14ac:dyDescent="0.15">
      <c r="G245" s="416"/>
      <c r="H245" s="417"/>
      <c r="J245" s="31"/>
      <c r="K245" s="31"/>
      <c r="L245" s="413"/>
      <c r="M245" s="344"/>
      <c r="S245" s="414"/>
      <c r="T245" s="414"/>
      <c r="U245" s="414"/>
      <c r="V245" s="414"/>
      <c r="W245" s="57"/>
      <c r="X245" s="213"/>
      <c r="Y245" s="367"/>
    </row>
    <row r="246" spans="1:26" ht="12.75" hidden="1" outlineLevel="2" x14ac:dyDescent="0.2">
      <c r="A246" s="251" t="s">
        <v>375</v>
      </c>
      <c r="B246" s="251" t="s">
        <v>376</v>
      </c>
      <c r="C246" s="251"/>
      <c r="D246" s="251" t="s">
        <v>391</v>
      </c>
      <c r="E246" s="252" t="s">
        <v>291</v>
      </c>
      <c r="F246" s="253" t="s">
        <v>108</v>
      </c>
      <c r="G246" s="267">
        <v>3</v>
      </c>
      <c r="H246" s="267">
        <v>1</v>
      </c>
      <c r="I246" s="259">
        <v>0</v>
      </c>
      <c r="J246" s="259">
        <v>2</v>
      </c>
      <c r="K246" s="259">
        <v>0</v>
      </c>
      <c r="L246" s="259">
        <v>0</v>
      </c>
      <c r="M246" s="260">
        <f t="shared" si="44"/>
        <v>2</v>
      </c>
      <c r="N246" s="255">
        <v>1890</v>
      </c>
      <c r="O246" s="255">
        <v>1890</v>
      </c>
      <c r="P246" s="255">
        <v>1912</v>
      </c>
      <c r="Q246" s="255">
        <v>1912</v>
      </c>
      <c r="R246" s="262">
        <f t="shared" ref="R246:R266" si="93">SUMPRODUCT(I246:L246,N246:Q246)</f>
        <v>3780</v>
      </c>
      <c r="S246" s="269">
        <f t="shared" ref="S246:S266" si="94">IF(N246&gt;prisgrense,I246*prisgrense,I246*N246)</f>
        <v>0</v>
      </c>
      <c r="T246" s="269">
        <f t="shared" ref="T246:T266" si="95">IF(O246&gt;prisgrense,J246*prisgrense,J246*O246)</f>
        <v>3780</v>
      </c>
      <c r="U246" s="269">
        <f t="shared" ref="U246:U266" si="96">IF(P246&gt;prisgrense,K246*prisgrense,K246*P246)</f>
        <v>0</v>
      </c>
      <c r="V246" s="269">
        <f t="shared" ref="V246:V266" si="97">IF(Q246&gt;prisgrense,L246*prisgrense,L246*Q246)</f>
        <v>0</v>
      </c>
      <c r="W246" s="262">
        <f t="shared" si="85"/>
        <v>3780</v>
      </c>
      <c r="X246" s="418"/>
      <c r="Y246" s="409"/>
      <c r="Z246" s="31">
        <v>100</v>
      </c>
    </row>
    <row r="247" spans="1:26" ht="12.75" hidden="1" outlineLevel="2" x14ac:dyDescent="0.2">
      <c r="A247" s="251" t="s">
        <v>375</v>
      </c>
      <c r="B247" s="251" t="s">
        <v>376</v>
      </c>
      <c r="C247" s="251"/>
      <c r="D247" s="251" t="s">
        <v>215</v>
      </c>
      <c r="E247" s="252" t="s">
        <v>291</v>
      </c>
      <c r="F247" s="253" t="s">
        <v>108</v>
      </c>
      <c r="G247" s="267">
        <v>3</v>
      </c>
      <c r="H247" s="267">
        <v>1</v>
      </c>
      <c r="I247" s="259"/>
      <c r="J247" s="259"/>
      <c r="K247" s="259"/>
      <c r="L247" s="259"/>
      <c r="M247" s="260">
        <f t="shared" si="44"/>
        <v>0</v>
      </c>
      <c r="N247" s="255">
        <v>1890</v>
      </c>
      <c r="O247" s="255">
        <v>1890</v>
      </c>
      <c r="P247" s="255">
        <v>1912</v>
      </c>
      <c r="Q247" s="255">
        <v>1912</v>
      </c>
      <c r="R247" s="262">
        <f t="shared" si="93"/>
        <v>0</v>
      </c>
      <c r="S247" s="269">
        <f t="shared" si="94"/>
        <v>0</v>
      </c>
      <c r="T247" s="269">
        <f t="shared" si="95"/>
        <v>0</v>
      </c>
      <c r="U247" s="269">
        <f t="shared" si="96"/>
        <v>0</v>
      </c>
      <c r="V247" s="269">
        <f t="shared" si="97"/>
        <v>0</v>
      </c>
      <c r="W247" s="262">
        <f t="shared" si="85"/>
        <v>0</v>
      </c>
      <c r="X247" s="55" t="s">
        <v>512</v>
      </c>
      <c r="Y247" s="409"/>
      <c r="Z247" s="31">
        <v>101</v>
      </c>
    </row>
    <row r="248" spans="1:26" ht="12.75" hidden="1" outlineLevel="2" x14ac:dyDescent="0.2">
      <c r="A248" s="251" t="s">
        <v>375</v>
      </c>
      <c r="B248" s="251" t="s">
        <v>376</v>
      </c>
      <c r="C248" s="251"/>
      <c r="D248" s="251" t="s">
        <v>233</v>
      </c>
      <c r="E248" s="252" t="s">
        <v>291</v>
      </c>
      <c r="F248" s="253" t="s">
        <v>108</v>
      </c>
      <c r="G248" s="267">
        <v>3</v>
      </c>
      <c r="H248" s="267">
        <v>2</v>
      </c>
      <c r="I248" s="259"/>
      <c r="J248" s="259"/>
      <c r="K248" s="259"/>
      <c r="L248" s="259"/>
      <c r="M248" s="260">
        <f t="shared" si="44"/>
        <v>0</v>
      </c>
      <c r="N248" s="255">
        <v>1990</v>
      </c>
      <c r="O248" s="255">
        <v>1990</v>
      </c>
      <c r="P248" s="255">
        <v>1990</v>
      </c>
      <c r="Q248" s="255">
        <v>1990</v>
      </c>
      <c r="R248" s="262">
        <f t="shared" si="93"/>
        <v>0</v>
      </c>
      <c r="S248" s="269">
        <f t="shared" si="94"/>
        <v>0</v>
      </c>
      <c r="T248" s="269">
        <f t="shared" si="95"/>
        <v>0</v>
      </c>
      <c r="U248" s="269">
        <f t="shared" si="96"/>
        <v>0</v>
      </c>
      <c r="V248" s="269">
        <f t="shared" si="97"/>
        <v>0</v>
      </c>
      <c r="W248" s="262">
        <f t="shared" si="85"/>
        <v>0</v>
      </c>
      <c r="X248" s="55" t="s">
        <v>626</v>
      </c>
      <c r="Y248" s="55"/>
      <c r="Z248" s="31">
        <v>102</v>
      </c>
    </row>
    <row r="249" spans="1:26" ht="12.75" hidden="1" outlineLevel="2" x14ac:dyDescent="0.2">
      <c r="A249" s="251" t="s">
        <v>375</v>
      </c>
      <c r="B249" s="251" t="s">
        <v>376</v>
      </c>
      <c r="C249" s="251"/>
      <c r="D249" s="251" t="s">
        <v>627</v>
      </c>
      <c r="E249" s="252" t="s">
        <v>291</v>
      </c>
      <c r="F249" s="253" t="s">
        <v>108</v>
      </c>
      <c r="G249" s="267">
        <v>3</v>
      </c>
      <c r="H249" s="267">
        <v>2</v>
      </c>
      <c r="I249" s="259"/>
      <c r="J249" s="259"/>
      <c r="K249" s="259">
        <v>0</v>
      </c>
      <c r="L249" s="259">
        <v>12</v>
      </c>
      <c r="M249" s="260">
        <f t="shared" ref="M249" si="98">SUM(I249:L249)</f>
        <v>12</v>
      </c>
      <c r="N249" s="255"/>
      <c r="O249" s="255"/>
      <c r="P249" s="255">
        <v>2014</v>
      </c>
      <c r="Q249" s="255">
        <v>2014</v>
      </c>
      <c r="R249" s="262">
        <f t="shared" ref="R249" si="99">SUMPRODUCT(I249:L249,N249:Q249)</f>
        <v>24168</v>
      </c>
      <c r="S249" s="269">
        <f t="shared" ref="S249" si="100">IF(N249&gt;prisgrense,I249*prisgrense,I249*N249)</f>
        <v>0</v>
      </c>
      <c r="T249" s="269">
        <f t="shared" ref="T249" si="101">IF(O249&gt;prisgrense,J249*prisgrense,J249*O249)</f>
        <v>0</v>
      </c>
      <c r="U249" s="269">
        <f t="shared" ref="U249" si="102">IF(P249&gt;prisgrense,K249*prisgrense,K249*P249)</f>
        <v>0</v>
      </c>
      <c r="V249" s="269">
        <f t="shared" ref="V249" si="103">IF(Q249&gt;prisgrense,L249*prisgrense,L249*Q249)</f>
        <v>24168</v>
      </c>
      <c r="W249" s="262">
        <f t="shared" ref="W249" si="104">SUM(S249:V249)</f>
        <v>24168</v>
      </c>
      <c r="X249" s="55" t="s">
        <v>583</v>
      </c>
      <c r="Y249" s="31"/>
    </row>
    <row r="250" spans="1:26" ht="12.75" hidden="1" outlineLevel="2" x14ac:dyDescent="0.2">
      <c r="A250" s="251" t="s">
        <v>375</v>
      </c>
      <c r="B250" s="251" t="s">
        <v>376</v>
      </c>
      <c r="C250" s="251"/>
      <c r="D250" s="251" t="s">
        <v>392</v>
      </c>
      <c r="E250" s="252" t="s">
        <v>291</v>
      </c>
      <c r="F250" s="253" t="s">
        <v>108</v>
      </c>
      <c r="G250" s="267">
        <v>3</v>
      </c>
      <c r="H250" s="267">
        <v>2</v>
      </c>
      <c r="I250" s="259">
        <v>8</v>
      </c>
      <c r="J250" s="259">
        <v>3</v>
      </c>
      <c r="K250" s="259">
        <v>1</v>
      </c>
      <c r="L250" s="259">
        <v>1</v>
      </c>
      <c r="M250" s="260">
        <f t="shared" si="44"/>
        <v>13</v>
      </c>
      <c r="N250" s="255">
        <v>1990</v>
      </c>
      <c r="O250" s="255">
        <v>1990</v>
      </c>
      <c r="P250" s="255">
        <v>1990</v>
      </c>
      <c r="Q250" s="255">
        <v>1990</v>
      </c>
      <c r="R250" s="262">
        <f t="shared" si="93"/>
        <v>25870</v>
      </c>
      <c r="S250" s="269">
        <f t="shared" si="94"/>
        <v>15920</v>
      </c>
      <c r="T250" s="269">
        <f t="shared" si="95"/>
        <v>5970</v>
      </c>
      <c r="U250" s="269">
        <f t="shared" si="96"/>
        <v>1990</v>
      </c>
      <c r="V250" s="269">
        <f t="shared" si="97"/>
        <v>1990</v>
      </c>
      <c r="W250" s="262">
        <f t="shared" si="85"/>
        <v>25870</v>
      </c>
      <c r="X250" s="55" t="s">
        <v>582</v>
      </c>
      <c r="Y250" s="409"/>
      <c r="Z250" s="31">
        <v>103</v>
      </c>
    </row>
    <row r="251" spans="1:26" ht="12.75" hidden="1" outlineLevel="2" x14ac:dyDescent="0.2">
      <c r="A251" s="251" t="s">
        <v>375</v>
      </c>
      <c r="B251" s="251" t="s">
        <v>376</v>
      </c>
      <c r="C251" s="251"/>
      <c r="D251" s="251" t="s">
        <v>628</v>
      </c>
      <c r="E251" s="252" t="s">
        <v>291</v>
      </c>
      <c r="F251" s="253" t="s">
        <v>108</v>
      </c>
      <c r="G251" s="267">
        <v>3</v>
      </c>
      <c r="H251" s="267">
        <v>2</v>
      </c>
      <c r="I251" s="259"/>
      <c r="J251" s="259"/>
      <c r="K251" s="259">
        <v>0</v>
      </c>
      <c r="L251" s="259">
        <v>4</v>
      </c>
      <c r="M251" s="260">
        <f t="shared" ref="M251" si="105">SUM(I251:L251)</f>
        <v>4</v>
      </c>
      <c r="N251" s="255"/>
      <c r="O251" s="255"/>
      <c r="P251" s="255">
        <v>2014</v>
      </c>
      <c r="Q251" s="255">
        <v>2014</v>
      </c>
      <c r="R251" s="262">
        <f t="shared" ref="R251" si="106">SUMPRODUCT(I251:L251,N251:Q251)</f>
        <v>8056</v>
      </c>
      <c r="S251" s="269">
        <f t="shared" ref="S251" si="107">IF(N251&gt;prisgrense,I251*prisgrense,I251*N251)</f>
        <v>0</v>
      </c>
      <c r="T251" s="269">
        <f t="shared" ref="T251" si="108">IF(O251&gt;prisgrense,J251*prisgrense,J251*O251)</f>
        <v>0</v>
      </c>
      <c r="U251" s="269">
        <f t="shared" ref="U251" si="109">IF(P251&gt;prisgrense,K251*prisgrense,K251*P251)</f>
        <v>0</v>
      </c>
      <c r="V251" s="269">
        <f t="shared" ref="V251" si="110">IF(Q251&gt;prisgrense,L251*prisgrense,L251*Q251)</f>
        <v>8056</v>
      </c>
      <c r="W251" s="262">
        <f t="shared" ref="W251" si="111">SUM(S251:V251)</f>
        <v>8056</v>
      </c>
      <c r="X251" s="55" t="s">
        <v>583</v>
      </c>
      <c r="Y251" s="409"/>
    </row>
    <row r="252" spans="1:26" ht="12.75" hidden="1" outlineLevel="2" x14ac:dyDescent="0.2">
      <c r="A252" s="251" t="s">
        <v>375</v>
      </c>
      <c r="B252" s="251" t="s">
        <v>376</v>
      </c>
      <c r="C252" s="251"/>
      <c r="D252" s="251" t="s">
        <v>393</v>
      </c>
      <c r="E252" s="252" t="s">
        <v>291</v>
      </c>
      <c r="F252" s="253" t="s">
        <v>108</v>
      </c>
      <c r="G252" s="267">
        <v>3</v>
      </c>
      <c r="H252" s="267">
        <v>3</v>
      </c>
      <c r="I252" s="259">
        <v>64</v>
      </c>
      <c r="J252" s="259">
        <v>56</v>
      </c>
      <c r="K252" s="259">
        <v>34</v>
      </c>
      <c r="L252" s="259">
        <v>65</v>
      </c>
      <c r="M252" s="260">
        <f t="shared" si="44"/>
        <v>219</v>
      </c>
      <c r="N252" s="255">
        <v>2990</v>
      </c>
      <c r="O252" s="255">
        <v>2990</v>
      </c>
      <c r="P252" s="255">
        <v>3026</v>
      </c>
      <c r="Q252" s="255">
        <v>3026</v>
      </c>
      <c r="R252" s="262">
        <f t="shared" si="93"/>
        <v>658374</v>
      </c>
      <c r="S252" s="269">
        <f t="shared" si="94"/>
        <v>191360</v>
      </c>
      <c r="T252" s="269">
        <f t="shared" si="95"/>
        <v>167440</v>
      </c>
      <c r="U252" s="269">
        <f t="shared" si="96"/>
        <v>102884</v>
      </c>
      <c r="V252" s="269">
        <f t="shared" si="97"/>
        <v>196690</v>
      </c>
      <c r="W252" s="262">
        <f t="shared" si="85"/>
        <v>658374</v>
      </c>
      <c r="X252" s="418"/>
      <c r="Y252" s="409"/>
      <c r="Z252" s="31">
        <v>104</v>
      </c>
    </row>
    <row r="253" spans="1:26" ht="12.75" hidden="1" outlineLevel="2" x14ac:dyDescent="0.2">
      <c r="A253" s="251" t="s">
        <v>375</v>
      </c>
      <c r="B253" s="251" t="s">
        <v>376</v>
      </c>
      <c r="C253" s="251"/>
      <c r="D253" s="251" t="s">
        <v>394</v>
      </c>
      <c r="E253" s="252" t="s">
        <v>291</v>
      </c>
      <c r="F253" s="253" t="s">
        <v>108</v>
      </c>
      <c r="G253" s="267">
        <v>3</v>
      </c>
      <c r="H253" s="267">
        <v>4</v>
      </c>
      <c r="I253" s="259">
        <v>110</v>
      </c>
      <c r="J253" s="259">
        <v>138</v>
      </c>
      <c r="K253" s="259">
        <v>113</v>
      </c>
      <c r="L253" s="259">
        <v>151</v>
      </c>
      <c r="M253" s="260">
        <f t="shared" si="44"/>
        <v>512</v>
      </c>
      <c r="N253" s="255">
        <v>2990</v>
      </c>
      <c r="O253" s="255">
        <v>2990</v>
      </c>
      <c r="P253" s="255">
        <v>3026</v>
      </c>
      <c r="Q253" s="255">
        <v>3026</v>
      </c>
      <c r="R253" s="262">
        <f t="shared" si="93"/>
        <v>1540384</v>
      </c>
      <c r="S253" s="269">
        <f t="shared" si="94"/>
        <v>328900</v>
      </c>
      <c r="T253" s="269">
        <f t="shared" si="95"/>
        <v>412620</v>
      </c>
      <c r="U253" s="269">
        <f t="shared" si="96"/>
        <v>341938</v>
      </c>
      <c r="V253" s="269">
        <f t="shared" si="97"/>
        <v>456926</v>
      </c>
      <c r="W253" s="262">
        <f t="shared" si="85"/>
        <v>1540384</v>
      </c>
      <c r="X253" s="55"/>
      <c r="Y253" s="55"/>
      <c r="Z253" s="31">
        <v>105</v>
      </c>
    </row>
    <row r="254" spans="1:26" ht="12.75" hidden="1" outlineLevel="2" x14ac:dyDescent="0.2">
      <c r="A254" s="251" t="s">
        <v>382</v>
      </c>
      <c r="B254" s="251" t="s">
        <v>406</v>
      </c>
      <c r="C254" s="251" t="s">
        <v>395</v>
      </c>
      <c r="D254" s="251" t="s">
        <v>396</v>
      </c>
      <c r="E254" s="252" t="s">
        <v>291</v>
      </c>
      <c r="F254" s="253" t="s">
        <v>108</v>
      </c>
      <c r="G254" s="267">
        <v>3</v>
      </c>
      <c r="H254" s="267">
        <v>5</v>
      </c>
      <c r="I254" s="259"/>
      <c r="J254" s="259"/>
      <c r="K254" s="259"/>
      <c r="L254" s="259"/>
      <c r="M254" s="260">
        <f t="shared" si="44"/>
        <v>0</v>
      </c>
      <c r="N254" s="255">
        <v>3352</v>
      </c>
      <c r="O254" s="255">
        <v>3352</v>
      </c>
      <c r="P254" s="255">
        <v>3352</v>
      </c>
      <c r="Q254" s="255">
        <v>3352</v>
      </c>
      <c r="R254" s="262">
        <f t="shared" si="93"/>
        <v>0</v>
      </c>
      <c r="S254" s="269">
        <f t="shared" si="94"/>
        <v>0</v>
      </c>
      <c r="T254" s="269">
        <f t="shared" si="95"/>
        <v>0</v>
      </c>
      <c r="U254" s="269">
        <f t="shared" si="96"/>
        <v>0</v>
      </c>
      <c r="V254" s="269">
        <f t="shared" si="97"/>
        <v>0</v>
      </c>
      <c r="W254" s="262">
        <f t="shared" si="85"/>
        <v>0</v>
      </c>
      <c r="X254" s="55"/>
      <c r="Y254" s="55"/>
      <c r="Z254" s="31">
        <v>106</v>
      </c>
    </row>
    <row r="255" spans="1:26" ht="12.75" hidden="1" outlineLevel="2" x14ac:dyDescent="0.2">
      <c r="A255" s="251" t="s">
        <v>377</v>
      </c>
      <c r="B255" s="251" t="s">
        <v>378</v>
      </c>
      <c r="C255" s="251"/>
      <c r="D255" s="251" t="s">
        <v>331</v>
      </c>
      <c r="E255" s="252" t="s">
        <v>291</v>
      </c>
      <c r="F255" s="253" t="s">
        <v>561</v>
      </c>
      <c r="G255" s="267">
        <v>3</v>
      </c>
      <c r="H255" s="267">
        <v>6</v>
      </c>
      <c r="I255" s="268">
        <v>0</v>
      </c>
      <c r="J255" s="268"/>
      <c r="K255" s="259"/>
      <c r="L255" s="259"/>
      <c r="M255" s="260">
        <f t="shared" si="44"/>
        <v>0</v>
      </c>
      <c r="N255" s="255">
        <v>3400</v>
      </c>
      <c r="O255" s="255">
        <v>3400</v>
      </c>
      <c r="P255" s="255">
        <v>3400</v>
      </c>
      <c r="Q255" s="255">
        <v>3400</v>
      </c>
      <c r="R255" s="262">
        <f t="shared" si="93"/>
        <v>0</v>
      </c>
      <c r="S255" s="269">
        <f t="shared" si="94"/>
        <v>0</v>
      </c>
      <c r="T255" s="269">
        <f t="shared" si="95"/>
        <v>0</v>
      </c>
      <c r="U255" s="269">
        <f t="shared" si="96"/>
        <v>0</v>
      </c>
      <c r="V255" s="269">
        <f t="shared" si="97"/>
        <v>0</v>
      </c>
      <c r="W255" s="262">
        <f t="shared" si="85"/>
        <v>0</v>
      </c>
      <c r="X255" s="55"/>
      <c r="Y255" s="55"/>
      <c r="Z255" s="31">
        <v>107</v>
      </c>
    </row>
    <row r="256" spans="1:26" ht="12.75" hidden="1" outlineLevel="2" x14ac:dyDescent="0.2">
      <c r="A256" s="251" t="s">
        <v>382</v>
      </c>
      <c r="B256" s="251" t="s">
        <v>406</v>
      </c>
      <c r="C256" s="251" t="s">
        <v>201</v>
      </c>
      <c r="D256" s="251" t="s">
        <v>312</v>
      </c>
      <c r="E256" s="252" t="s">
        <v>291</v>
      </c>
      <c r="F256" s="253" t="s">
        <v>108</v>
      </c>
      <c r="G256" s="267">
        <v>3</v>
      </c>
      <c r="H256" s="267">
        <v>7</v>
      </c>
      <c r="I256" s="259"/>
      <c r="J256" s="259"/>
      <c r="K256" s="259"/>
      <c r="L256" s="259"/>
      <c r="M256" s="260">
        <f t="shared" si="44"/>
        <v>0</v>
      </c>
      <c r="N256" s="255">
        <v>3660</v>
      </c>
      <c r="O256" s="255">
        <v>3660</v>
      </c>
      <c r="P256" s="255">
        <v>3660</v>
      </c>
      <c r="Q256" s="255">
        <v>3660</v>
      </c>
      <c r="R256" s="262">
        <f t="shared" si="93"/>
        <v>0</v>
      </c>
      <c r="S256" s="269">
        <f t="shared" si="94"/>
        <v>0</v>
      </c>
      <c r="T256" s="269">
        <f t="shared" si="95"/>
        <v>0</v>
      </c>
      <c r="U256" s="269">
        <f t="shared" si="96"/>
        <v>0</v>
      </c>
      <c r="V256" s="269">
        <f t="shared" si="97"/>
        <v>0</v>
      </c>
      <c r="W256" s="262">
        <f t="shared" si="85"/>
        <v>0</v>
      </c>
      <c r="X256" s="55"/>
      <c r="Y256" s="55"/>
      <c r="Z256" s="31">
        <v>108</v>
      </c>
    </row>
    <row r="257" spans="1:26" ht="12.75" hidden="1" outlineLevel="2" x14ac:dyDescent="0.2">
      <c r="A257" s="251" t="s">
        <v>384</v>
      </c>
      <c r="B257" s="251" t="s">
        <v>385</v>
      </c>
      <c r="C257" s="251" t="s">
        <v>397</v>
      </c>
      <c r="D257" s="251" t="s">
        <v>398</v>
      </c>
      <c r="E257" s="252" t="s">
        <v>291</v>
      </c>
      <c r="F257" s="253" t="s">
        <v>561</v>
      </c>
      <c r="G257" s="267">
        <v>3</v>
      </c>
      <c r="H257" s="267">
        <v>8</v>
      </c>
      <c r="I257" s="259"/>
      <c r="J257" s="259"/>
      <c r="K257" s="259"/>
      <c r="L257" s="259">
        <v>3</v>
      </c>
      <c r="M257" s="260">
        <f t="shared" si="44"/>
        <v>3</v>
      </c>
      <c r="N257" s="255">
        <v>3900</v>
      </c>
      <c r="O257" s="255">
        <v>3900</v>
      </c>
      <c r="P257" s="255">
        <v>3900</v>
      </c>
      <c r="Q257" s="255">
        <v>3900</v>
      </c>
      <c r="R257" s="262">
        <f t="shared" si="93"/>
        <v>11700</v>
      </c>
      <c r="S257" s="269">
        <f t="shared" si="94"/>
        <v>0</v>
      </c>
      <c r="T257" s="269">
        <f t="shared" si="95"/>
        <v>0</v>
      </c>
      <c r="U257" s="269">
        <f t="shared" si="96"/>
        <v>0</v>
      </c>
      <c r="V257" s="269">
        <f t="shared" si="97"/>
        <v>11700</v>
      </c>
      <c r="W257" s="262">
        <f t="shared" si="85"/>
        <v>11700</v>
      </c>
      <c r="X257" s="55"/>
      <c r="Y257" s="55"/>
      <c r="Z257" s="31">
        <v>109</v>
      </c>
    </row>
    <row r="258" spans="1:26" ht="12.75" hidden="1" outlineLevel="2" x14ac:dyDescent="0.2">
      <c r="A258" s="251" t="s">
        <v>382</v>
      </c>
      <c r="B258" s="251" t="s">
        <v>406</v>
      </c>
      <c r="C258" s="251" t="s">
        <v>276</v>
      </c>
      <c r="D258" s="251" t="s">
        <v>399</v>
      </c>
      <c r="E258" s="252" t="s">
        <v>291</v>
      </c>
      <c r="F258" s="253" t="s">
        <v>108</v>
      </c>
      <c r="G258" s="267">
        <v>3</v>
      </c>
      <c r="H258" s="267">
        <v>9</v>
      </c>
      <c r="I258" s="259"/>
      <c r="J258" s="259"/>
      <c r="K258" s="259"/>
      <c r="L258" s="259"/>
      <c r="M258" s="260">
        <f t="shared" si="44"/>
        <v>0</v>
      </c>
      <c r="N258" s="255">
        <v>3052</v>
      </c>
      <c r="O258" s="255">
        <v>3052</v>
      </c>
      <c r="P258" s="255">
        <v>3052</v>
      </c>
      <c r="Q258" s="255">
        <v>3052</v>
      </c>
      <c r="R258" s="262">
        <f t="shared" si="93"/>
        <v>0</v>
      </c>
      <c r="S258" s="269">
        <f t="shared" si="94"/>
        <v>0</v>
      </c>
      <c r="T258" s="269">
        <f t="shared" si="95"/>
        <v>0</v>
      </c>
      <c r="U258" s="269">
        <f t="shared" si="96"/>
        <v>0</v>
      </c>
      <c r="V258" s="269">
        <f t="shared" si="97"/>
        <v>0</v>
      </c>
      <c r="W258" s="262">
        <f t="shared" si="85"/>
        <v>0</v>
      </c>
      <c r="X258" s="55"/>
      <c r="Y258" s="55"/>
      <c r="Z258" s="31">
        <v>110</v>
      </c>
    </row>
    <row r="259" spans="1:26" ht="12.75" hidden="1" outlineLevel="2" x14ac:dyDescent="0.2">
      <c r="A259" s="251" t="s">
        <v>384</v>
      </c>
      <c r="B259" s="251" t="s">
        <v>385</v>
      </c>
      <c r="C259" s="251" t="s">
        <v>397</v>
      </c>
      <c r="D259" s="251" t="s">
        <v>186</v>
      </c>
      <c r="E259" s="252" t="s">
        <v>291</v>
      </c>
      <c r="F259" s="253" t="s">
        <v>561</v>
      </c>
      <c r="G259" s="267">
        <v>3</v>
      </c>
      <c r="H259" s="267">
        <v>10</v>
      </c>
      <c r="I259" s="259">
        <v>77</v>
      </c>
      <c r="J259" s="259">
        <v>74</v>
      </c>
      <c r="K259" s="259">
        <v>65</v>
      </c>
      <c r="L259" s="259">
        <v>64</v>
      </c>
      <c r="M259" s="260">
        <f t="shared" si="44"/>
        <v>280</v>
      </c>
      <c r="N259" s="255">
        <v>4450</v>
      </c>
      <c r="O259" s="255">
        <v>4450</v>
      </c>
      <c r="P259" s="255">
        <v>4450</v>
      </c>
      <c r="Q259" s="255">
        <v>4450</v>
      </c>
      <c r="R259" s="262">
        <f t="shared" si="93"/>
        <v>1246000</v>
      </c>
      <c r="S259" s="269">
        <f t="shared" si="94"/>
        <v>342650</v>
      </c>
      <c r="T259" s="269">
        <f t="shared" si="95"/>
        <v>329300</v>
      </c>
      <c r="U259" s="269">
        <f t="shared" si="96"/>
        <v>289250</v>
      </c>
      <c r="V259" s="269">
        <f t="shared" si="97"/>
        <v>284800</v>
      </c>
      <c r="W259" s="262">
        <f t="shared" si="85"/>
        <v>1246000</v>
      </c>
      <c r="X259" s="55"/>
      <c r="Y259" s="224"/>
      <c r="Z259" s="31">
        <v>111</v>
      </c>
    </row>
    <row r="260" spans="1:26" ht="12.75" hidden="1" outlineLevel="2" x14ac:dyDescent="0.2">
      <c r="A260" s="251" t="s">
        <v>389</v>
      </c>
      <c r="B260" s="251" t="s">
        <v>390</v>
      </c>
      <c r="C260" s="251" t="s">
        <v>283</v>
      </c>
      <c r="D260" s="251" t="s">
        <v>400</v>
      </c>
      <c r="E260" s="252" t="s">
        <v>291</v>
      </c>
      <c r="F260" s="253" t="s">
        <v>108</v>
      </c>
      <c r="G260" s="267">
        <v>3</v>
      </c>
      <c r="H260" s="267">
        <v>11</v>
      </c>
      <c r="I260" s="259">
        <v>5</v>
      </c>
      <c r="J260" s="259">
        <v>8</v>
      </c>
      <c r="K260" s="259">
        <v>7</v>
      </c>
      <c r="L260" s="259">
        <v>5</v>
      </c>
      <c r="M260" s="260">
        <f t="shared" si="44"/>
        <v>25</v>
      </c>
      <c r="N260" s="255">
        <v>2200</v>
      </c>
      <c r="O260" s="255">
        <v>2200</v>
      </c>
      <c r="P260" s="255">
        <v>2226</v>
      </c>
      <c r="Q260" s="255">
        <v>2226</v>
      </c>
      <c r="R260" s="262">
        <f t="shared" si="93"/>
        <v>55312</v>
      </c>
      <c r="S260" s="269">
        <f t="shared" si="94"/>
        <v>11000</v>
      </c>
      <c r="T260" s="269">
        <f t="shared" si="95"/>
        <v>17600</v>
      </c>
      <c r="U260" s="269">
        <f t="shared" si="96"/>
        <v>15582</v>
      </c>
      <c r="V260" s="269">
        <f t="shared" si="97"/>
        <v>11130</v>
      </c>
      <c r="W260" s="262">
        <f t="shared" si="85"/>
        <v>55312</v>
      </c>
      <c r="Z260" s="31">
        <v>112</v>
      </c>
    </row>
    <row r="261" spans="1:26" ht="12.75" hidden="1" outlineLevel="2" x14ac:dyDescent="0.2">
      <c r="A261" s="251" t="s">
        <v>384</v>
      </c>
      <c r="B261" s="251" t="s">
        <v>385</v>
      </c>
      <c r="C261" s="251" t="s">
        <v>397</v>
      </c>
      <c r="D261" s="251" t="s">
        <v>187</v>
      </c>
      <c r="E261" s="252" t="s">
        <v>291</v>
      </c>
      <c r="F261" s="253" t="s">
        <v>561</v>
      </c>
      <c r="G261" s="267">
        <v>3</v>
      </c>
      <c r="H261" s="267">
        <v>12</v>
      </c>
      <c r="I261" s="259">
        <v>65</v>
      </c>
      <c r="J261" s="259">
        <v>45</v>
      </c>
      <c r="K261" s="259">
        <v>51</v>
      </c>
      <c r="L261" s="259">
        <v>45</v>
      </c>
      <c r="M261" s="260">
        <f t="shared" si="44"/>
        <v>206</v>
      </c>
      <c r="N261" s="255">
        <v>5057</v>
      </c>
      <c r="O261" s="255">
        <v>5057</v>
      </c>
      <c r="P261" s="255">
        <v>5057</v>
      </c>
      <c r="Q261" s="255">
        <v>5057</v>
      </c>
      <c r="R261" s="262">
        <f t="shared" si="93"/>
        <v>1041742</v>
      </c>
      <c r="S261" s="269">
        <f t="shared" si="94"/>
        <v>295360</v>
      </c>
      <c r="T261" s="269">
        <f t="shared" si="95"/>
        <v>204480</v>
      </c>
      <c r="U261" s="269">
        <f t="shared" si="96"/>
        <v>231744</v>
      </c>
      <c r="V261" s="269">
        <f t="shared" si="97"/>
        <v>204480</v>
      </c>
      <c r="W261" s="262">
        <f t="shared" si="85"/>
        <v>936064</v>
      </c>
      <c r="Z261" s="31">
        <v>113</v>
      </c>
    </row>
    <row r="262" spans="1:26" ht="12.75" hidden="1" outlineLevel="2" x14ac:dyDescent="0.2">
      <c r="A262" s="251" t="s">
        <v>384</v>
      </c>
      <c r="B262" s="251" t="s">
        <v>385</v>
      </c>
      <c r="C262" s="251">
        <v>900</v>
      </c>
      <c r="D262" s="251" t="s">
        <v>401</v>
      </c>
      <c r="E262" s="252" t="s">
        <v>291</v>
      </c>
      <c r="F262" s="253" t="s">
        <v>561</v>
      </c>
      <c r="G262" s="267">
        <v>3</v>
      </c>
      <c r="H262" s="267">
        <v>13</v>
      </c>
      <c r="I262" s="259">
        <v>40</v>
      </c>
      <c r="J262" s="259">
        <v>38</v>
      </c>
      <c r="K262" s="259">
        <v>45</v>
      </c>
      <c r="L262" s="259">
        <v>51</v>
      </c>
      <c r="M262" s="260">
        <f t="shared" si="44"/>
        <v>174</v>
      </c>
      <c r="N262" s="255">
        <v>5500</v>
      </c>
      <c r="O262" s="255">
        <v>5500</v>
      </c>
      <c r="P262" s="255">
        <v>5500</v>
      </c>
      <c r="Q262" s="255">
        <v>5500</v>
      </c>
      <c r="R262" s="262">
        <f t="shared" si="93"/>
        <v>957000</v>
      </c>
      <c r="S262" s="269">
        <f t="shared" si="94"/>
        <v>181760</v>
      </c>
      <c r="T262" s="269">
        <f t="shared" si="95"/>
        <v>172672</v>
      </c>
      <c r="U262" s="269">
        <f t="shared" si="96"/>
        <v>204480</v>
      </c>
      <c r="V262" s="269">
        <f t="shared" si="97"/>
        <v>231744</v>
      </c>
      <c r="W262" s="262">
        <f t="shared" si="85"/>
        <v>790656</v>
      </c>
      <c r="X262" s="55"/>
      <c r="Y262" s="224"/>
      <c r="Z262" s="31">
        <v>114</v>
      </c>
    </row>
    <row r="263" spans="1:26" ht="12.75" hidden="1" outlineLevel="2" x14ac:dyDescent="0.2">
      <c r="A263" s="251" t="s">
        <v>388</v>
      </c>
      <c r="B263" s="251" t="s">
        <v>95</v>
      </c>
      <c r="C263" s="251"/>
      <c r="D263" s="251" t="s">
        <v>402</v>
      </c>
      <c r="E263" s="252" t="s">
        <v>291</v>
      </c>
      <c r="F263" s="253" t="s">
        <v>108</v>
      </c>
      <c r="G263" s="267">
        <v>3</v>
      </c>
      <c r="H263" s="267">
        <v>14</v>
      </c>
      <c r="I263" s="259"/>
      <c r="J263" s="259"/>
      <c r="K263" s="259"/>
      <c r="L263" s="259"/>
      <c r="M263" s="260">
        <f t="shared" si="44"/>
        <v>0</v>
      </c>
      <c r="N263" s="255">
        <v>4350</v>
      </c>
      <c r="O263" s="255">
        <v>4350</v>
      </c>
      <c r="P263" s="255">
        <v>4402</v>
      </c>
      <c r="Q263" s="255">
        <v>4402</v>
      </c>
      <c r="R263" s="262">
        <f t="shared" si="93"/>
        <v>0</v>
      </c>
      <c r="S263" s="269">
        <f t="shared" si="94"/>
        <v>0</v>
      </c>
      <c r="T263" s="269">
        <f t="shared" si="95"/>
        <v>0</v>
      </c>
      <c r="U263" s="269">
        <f t="shared" si="96"/>
        <v>0</v>
      </c>
      <c r="V263" s="269">
        <f t="shared" si="97"/>
        <v>0</v>
      </c>
      <c r="W263" s="262">
        <f t="shared" si="85"/>
        <v>0</v>
      </c>
      <c r="X263" s="55"/>
      <c r="Y263" s="224"/>
      <c r="Z263" s="31">
        <v>115</v>
      </c>
    </row>
    <row r="264" spans="1:26" ht="12.75" hidden="1" outlineLevel="2" x14ac:dyDescent="0.2">
      <c r="A264" s="251" t="s">
        <v>388</v>
      </c>
      <c r="B264" s="251" t="s">
        <v>95</v>
      </c>
      <c r="C264" s="251"/>
      <c r="D264" s="251" t="s">
        <v>403</v>
      </c>
      <c r="E264" s="252" t="s">
        <v>291</v>
      </c>
      <c r="F264" s="253" t="s">
        <v>108</v>
      </c>
      <c r="G264" s="408">
        <v>3</v>
      </c>
      <c r="H264" s="408">
        <v>15</v>
      </c>
      <c r="I264" s="259">
        <v>5</v>
      </c>
      <c r="J264" s="259">
        <v>11</v>
      </c>
      <c r="K264" s="259">
        <v>6</v>
      </c>
      <c r="L264" s="259">
        <v>6</v>
      </c>
      <c r="M264" s="260">
        <f t="shared" si="44"/>
        <v>28</v>
      </c>
      <c r="N264" s="255">
        <v>3800</v>
      </c>
      <c r="O264" s="255">
        <v>3800</v>
      </c>
      <c r="P264" s="255">
        <v>3845</v>
      </c>
      <c r="Q264" s="255">
        <v>3845</v>
      </c>
      <c r="R264" s="262">
        <f t="shared" si="93"/>
        <v>106940</v>
      </c>
      <c r="S264" s="269">
        <f t="shared" si="94"/>
        <v>19000</v>
      </c>
      <c r="T264" s="269">
        <f t="shared" si="95"/>
        <v>41800</v>
      </c>
      <c r="U264" s="269">
        <f t="shared" si="96"/>
        <v>23070</v>
      </c>
      <c r="V264" s="269">
        <f t="shared" si="97"/>
        <v>23070</v>
      </c>
      <c r="W264" s="262">
        <f t="shared" si="85"/>
        <v>106940</v>
      </c>
      <c r="X264" s="55"/>
      <c r="Y264" s="224"/>
      <c r="Z264" s="31">
        <v>116</v>
      </c>
    </row>
    <row r="265" spans="1:26" ht="12.75" hidden="1" outlineLevel="2" x14ac:dyDescent="0.2">
      <c r="A265" s="251" t="s">
        <v>388</v>
      </c>
      <c r="B265" s="251" t="s">
        <v>95</v>
      </c>
      <c r="C265" s="251"/>
      <c r="D265" s="251" t="s">
        <v>404</v>
      </c>
      <c r="E265" s="252" t="s">
        <v>291</v>
      </c>
      <c r="F265" s="253" t="s">
        <v>561</v>
      </c>
      <c r="G265" s="408">
        <v>3</v>
      </c>
      <c r="H265" s="408">
        <v>16</v>
      </c>
      <c r="I265" s="259">
        <v>13</v>
      </c>
      <c r="J265" s="259"/>
      <c r="K265" s="259">
        <v>3</v>
      </c>
      <c r="L265" s="259">
        <v>8</v>
      </c>
      <c r="M265" s="260">
        <f t="shared" si="44"/>
        <v>24</v>
      </c>
      <c r="N265" s="255">
        <v>4000</v>
      </c>
      <c r="O265" s="255">
        <v>4000</v>
      </c>
      <c r="P265" s="255">
        <v>4048</v>
      </c>
      <c r="Q265" s="255">
        <v>4048</v>
      </c>
      <c r="R265" s="262">
        <f t="shared" si="93"/>
        <v>96528</v>
      </c>
      <c r="S265" s="269">
        <f t="shared" si="94"/>
        <v>52000</v>
      </c>
      <c r="T265" s="269">
        <f t="shared" si="95"/>
        <v>0</v>
      </c>
      <c r="U265" s="269">
        <f t="shared" si="96"/>
        <v>12144</v>
      </c>
      <c r="V265" s="269">
        <f t="shared" si="97"/>
        <v>32384</v>
      </c>
      <c r="W265" s="262">
        <f t="shared" si="85"/>
        <v>96528</v>
      </c>
      <c r="X265" s="213"/>
      <c r="Y265" s="367"/>
      <c r="Z265" s="31">
        <v>117</v>
      </c>
    </row>
    <row r="266" spans="1:26" ht="12.75" hidden="1" outlineLevel="2" x14ac:dyDescent="0.2">
      <c r="A266" s="251" t="s">
        <v>388</v>
      </c>
      <c r="B266" s="251" t="s">
        <v>95</v>
      </c>
      <c r="C266" s="251"/>
      <c r="D266" s="251" t="s">
        <v>405</v>
      </c>
      <c r="E266" s="252" t="s">
        <v>291</v>
      </c>
      <c r="F266" s="253" t="s">
        <v>561</v>
      </c>
      <c r="G266" s="408">
        <v>3</v>
      </c>
      <c r="H266" s="408">
        <v>17</v>
      </c>
      <c r="I266" s="259"/>
      <c r="J266" s="259"/>
      <c r="K266" s="259"/>
      <c r="L266" s="259"/>
      <c r="M266" s="260">
        <f t="shared" si="44"/>
        <v>0</v>
      </c>
      <c r="N266" s="255">
        <v>4200</v>
      </c>
      <c r="O266" s="255">
        <v>4200</v>
      </c>
      <c r="P266" s="255">
        <v>4250</v>
      </c>
      <c r="Q266" s="255">
        <v>4250</v>
      </c>
      <c r="R266" s="262">
        <f t="shared" si="93"/>
        <v>0</v>
      </c>
      <c r="S266" s="269">
        <f t="shared" si="94"/>
        <v>0</v>
      </c>
      <c r="T266" s="269">
        <f t="shared" si="95"/>
        <v>0</v>
      </c>
      <c r="U266" s="269">
        <f t="shared" si="96"/>
        <v>0</v>
      </c>
      <c r="V266" s="269">
        <f t="shared" si="97"/>
        <v>0</v>
      </c>
      <c r="W266" s="262">
        <f t="shared" si="85"/>
        <v>0</v>
      </c>
      <c r="X266" s="213"/>
      <c r="Y266" s="367"/>
      <c r="Z266" s="31">
        <v>118</v>
      </c>
    </row>
    <row r="267" spans="1:26" ht="11.25" outlineLevel="1" collapsed="1" x14ac:dyDescent="0.2">
      <c r="D267" s="343" t="s">
        <v>651</v>
      </c>
      <c r="G267" s="419" t="s">
        <v>174</v>
      </c>
      <c r="H267" s="233"/>
      <c r="I267" s="31">
        <f>SUBTOTAL(9,I246:I266)</f>
        <v>387</v>
      </c>
      <c r="J267" s="31">
        <f>SUBTOTAL(9,J246:J266)</f>
        <v>375</v>
      </c>
      <c r="K267" s="31">
        <f>SUBTOTAL(9,K246:K266)</f>
        <v>325</v>
      </c>
      <c r="L267" s="31">
        <f>SUBTOTAL(9,L246:L266)</f>
        <v>415</v>
      </c>
      <c r="M267" s="214">
        <f>SUBTOTAL(9,M246:M266)</f>
        <v>1502</v>
      </c>
      <c r="R267" s="57">
        <f t="shared" ref="R267:W267" si="112">SUBTOTAL(9,R246:R266)</f>
        <v>5775854</v>
      </c>
      <c r="S267" s="414">
        <f t="shared" si="112"/>
        <v>1437950</v>
      </c>
      <c r="T267" s="414">
        <f t="shared" si="112"/>
        <v>1355662</v>
      </c>
      <c r="U267" s="414">
        <f t="shared" si="112"/>
        <v>1223082</v>
      </c>
      <c r="V267" s="414">
        <f t="shared" si="112"/>
        <v>1487138</v>
      </c>
      <c r="W267" s="57">
        <f t="shared" si="112"/>
        <v>5503832</v>
      </c>
      <c r="X267" s="55"/>
      <c r="Y267" s="224"/>
      <c r="Z267" s="31">
        <v>147</v>
      </c>
    </row>
    <row r="268" spans="1:26" outlineLevel="1" x14ac:dyDescent="0.15">
      <c r="G268" s="419"/>
      <c r="H268" s="233"/>
      <c r="J268" s="31"/>
      <c r="K268" s="31"/>
      <c r="L268" s="31"/>
      <c r="M268" s="344"/>
      <c r="S268" s="414"/>
      <c r="T268" s="414"/>
      <c r="U268" s="414"/>
      <c r="V268" s="414"/>
      <c r="W268" s="57"/>
      <c r="X268" s="55"/>
      <c r="Y268" s="224"/>
    </row>
    <row r="269" spans="1:26" ht="12.75" hidden="1" outlineLevel="2" x14ac:dyDescent="0.2">
      <c r="A269" s="251" t="s">
        <v>1</v>
      </c>
      <c r="B269" s="251" t="s">
        <v>379</v>
      </c>
      <c r="C269" s="251"/>
      <c r="D269" s="251" t="s">
        <v>407</v>
      </c>
      <c r="E269" s="252" t="s">
        <v>291</v>
      </c>
      <c r="F269" s="253" t="s">
        <v>106</v>
      </c>
      <c r="G269" s="270">
        <v>4</v>
      </c>
      <c r="H269" s="270">
        <v>1</v>
      </c>
      <c r="I269" s="259">
        <v>2</v>
      </c>
      <c r="J269" s="259">
        <v>2</v>
      </c>
      <c r="K269" s="259"/>
      <c r="L269" s="259"/>
      <c r="M269" s="260">
        <f t="shared" ref="M269:M342" si="113">SUM(I269:L269)</f>
        <v>4</v>
      </c>
      <c r="N269" s="255">
        <v>4440</v>
      </c>
      <c r="O269" s="255">
        <v>4440</v>
      </c>
      <c r="P269" s="255">
        <v>4440</v>
      </c>
      <c r="Q269" s="255">
        <v>4440</v>
      </c>
      <c r="R269" s="262">
        <f>SUMPRODUCT(I269:L269,N269:Q269)</f>
        <v>17760</v>
      </c>
      <c r="S269" s="269">
        <f t="shared" ref="S269:V271" si="114">IF(N269&gt;prisgrense,I269*prisgrense,I269*N269)</f>
        <v>8880</v>
      </c>
      <c r="T269" s="269">
        <f t="shared" si="114"/>
        <v>8880</v>
      </c>
      <c r="U269" s="269">
        <f t="shared" si="114"/>
        <v>0</v>
      </c>
      <c r="V269" s="269">
        <f t="shared" si="114"/>
        <v>0</v>
      </c>
      <c r="W269" s="262">
        <f t="shared" ref="W269:W342" si="115">SUM(S269:V269)</f>
        <v>17760</v>
      </c>
      <c r="X269" s="55"/>
      <c r="Y269" s="224"/>
      <c r="Z269" s="31">
        <v>148</v>
      </c>
    </row>
    <row r="270" spans="1:26" ht="12.75" hidden="1" outlineLevel="2" x14ac:dyDescent="0.2">
      <c r="A270" s="251" t="s">
        <v>1</v>
      </c>
      <c r="B270" s="251" t="s">
        <v>379</v>
      </c>
      <c r="C270" s="251"/>
      <c r="D270" s="251" t="s">
        <v>408</v>
      </c>
      <c r="E270" s="252" t="s">
        <v>291</v>
      </c>
      <c r="F270" s="253" t="s">
        <v>106</v>
      </c>
      <c r="G270" s="270">
        <v>4</v>
      </c>
      <c r="H270" s="270">
        <v>2</v>
      </c>
      <c r="I270" s="259">
        <v>38</v>
      </c>
      <c r="J270" s="259">
        <v>36</v>
      </c>
      <c r="K270" s="259">
        <v>22</v>
      </c>
      <c r="L270" s="259">
        <v>22</v>
      </c>
      <c r="M270" s="260">
        <f t="shared" si="113"/>
        <v>118</v>
      </c>
      <c r="N270" s="255">
        <v>4995</v>
      </c>
      <c r="O270" s="255">
        <v>4995</v>
      </c>
      <c r="P270" s="255">
        <v>4995</v>
      </c>
      <c r="Q270" s="255">
        <v>4995</v>
      </c>
      <c r="R270" s="262">
        <f>SUMPRODUCT(I270:L270,N270:Q270)</f>
        <v>589410</v>
      </c>
      <c r="S270" s="269">
        <f t="shared" si="114"/>
        <v>172672</v>
      </c>
      <c r="T270" s="269">
        <f t="shared" si="114"/>
        <v>163584</v>
      </c>
      <c r="U270" s="269">
        <f t="shared" si="114"/>
        <v>99968</v>
      </c>
      <c r="V270" s="269">
        <f t="shared" si="114"/>
        <v>99968</v>
      </c>
      <c r="W270" s="262">
        <f t="shared" si="115"/>
        <v>536192</v>
      </c>
      <c r="X270" s="55"/>
      <c r="Y270" s="224"/>
      <c r="Z270" s="31">
        <v>149</v>
      </c>
    </row>
    <row r="271" spans="1:26" ht="12.75" hidden="1" outlineLevel="2" x14ac:dyDescent="0.2">
      <c r="A271" s="251" t="s">
        <v>389</v>
      </c>
      <c r="B271" s="251" t="s">
        <v>390</v>
      </c>
      <c r="C271" s="251" t="s">
        <v>283</v>
      </c>
      <c r="D271" s="251" t="s">
        <v>409</v>
      </c>
      <c r="E271" s="252" t="s">
        <v>291</v>
      </c>
      <c r="F271" s="253" t="s">
        <v>106</v>
      </c>
      <c r="G271" s="270">
        <v>4</v>
      </c>
      <c r="H271" s="270">
        <v>3</v>
      </c>
      <c r="I271" s="259">
        <v>52</v>
      </c>
      <c r="J271" s="259">
        <v>17</v>
      </c>
      <c r="K271" s="259">
        <v>24</v>
      </c>
      <c r="L271" s="259">
        <v>9</v>
      </c>
      <c r="M271" s="260">
        <f t="shared" si="113"/>
        <v>102</v>
      </c>
      <c r="N271" s="255">
        <v>2600</v>
      </c>
      <c r="O271" s="255">
        <v>2600</v>
      </c>
      <c r="P271" s="255">
        <v>2600</v>
      </c>
      <c r="Q271" s="255">
        <v>2600</v>
      </c>
      <c r="R271" s="262">
        <f>SUMPRODUCT(I271:L271,N271:Q271)</f>
        <v>265200</v>
      </c>
      <c r="S271" s="269">
        <f t="shared" si="114"/>
        <v>135200</v>
      </c>
      <c r="T271" s="269">
        <f t="shared" si="114"/>
        <v>44200</v>
      </c>
      <c r="U271" s="269">
        <f t="shared" si="114"/>
        <v>62400</v>
      </c>
      <c r="V271" s="269">
        <f t="shared" si="114"/>
        <v>23400</v>
      </c>
      <c r="W271" s="262">
        <f t="shared" si="115"/>
        <v>265200</v>
      </c>
      <c r="X271" s="55" t="s">
        <v>582</v>
      </c>
      <c r="Y271" s="224"/>
      <c r="Z271" s="31">
        <v>150</v>
      </c>
    </row>
    <row r="272" spans="1:26" ht="12.75" hidden="1" outlineLevel="2" x14ac:dyDescent="0.2">
      <c r="A272" s="251" t="s">
        <v>389</v>
      </c>
      <c r="B272" s="251" t="s">
        <v>390</v>
      </c>
      <c r="C272" s="251" t="s">
        <v>604</v>
      </c>
      <c r="D272" s="251" t="s">
        <v>605</v>
      </c>
      <c r="E272" s="252" t="s">
        <v>291</v>
      </c>
      <c r="F272" s="253" t="s">
        <v>106</v>
      </c>
      <c r="G272" s="270">
        <v>4</v>
      </c>
      <c r="H272" s="270">
        <v>3</v>
      </c>
      <c r="I272" s="259"/>
      <c r="J272" s="259"/>
      <c r="K272" s="259">
        <v>19</v>
      </c>
      <c r="L272" s="259">
        <v>53</v>
      </c>
      <c r="M272" s="260">
        <f t="shared" ref="M272" si="116">SUM(I272:L272)</f>
        <v>72</v>
      </c>
      <c r="N272" s="255"/>
      <c r="O272" s="255"/>
      <c r="P272" s="255">
        <v>2631</v>
      </c>
      <c r="Q272" s="255">
        <v>2631</v>
      </c>
      <c r="R272" s="262">
        <f>SUMPRODUCT(I272:L272,N272:Q272)</f>
        <v>189432</v>
      </c>
      <c r="S272" s="269">
        <f t="shared" ref="S272" si="117">IF(N272&gt;prisgrense,I272*prisgrense,I272*N272)</f>
        <v>0</v>
      </c>
      <c r="T272" s="269">
        <f t="shared" ref="T272" si="118">IF(O272&gt;prisgrense,J272*prisgrense,J272*O272)</f>
        <v>0</v>
      </c>
      <c r="U272" s="269">
        <f t="shared" ref="U272" si="119">IF(P272&gt;prisgrense,K272*prisgrense,K272*P272)</f>
        <v>49989</v>
      </c>
      <c r="V272" s="269">
        <f t="shared" ref="V272" si="120">IF(Q272&gt;prisgrense,L272*prisgrense,L272*Q272)</f>
        <v>139443</v>
      </c>
      <c r="W272" s="262">
        <f t="shared" ref="W272" si="121">SUM(S272:V272)</f>
        <v>189432</v>
      </c>
      <c r="X272" s="55" t="s">
        <v>583</v>
      </c>
      <c r="Y272" s="224"/>
    </row>
    <row r="273" spans="1:26" ht="11.25" outlineLevel="1" collapsed="1" x14ac:dyDescent="0.2">
      <c r="D273" s="343" t="s">
        <v>652</v>
      </c>
      <c r="F273" s="233"/>
      <c r="G273" s="419" t="s">
        <v>175</v>
      </c>
      <c r="H273" s="233"/>
      <c r="I273" s="31">
        <f>SUBTOTAL(9,I269:I272)</f>
        <v>92</v>
      </c>
      <c r="J273" s="31">
        <f>SUBTOTAL(9,J269:J272)</f>
        <v>55</v>
      </c>
      <c r="K273" s="31">
        <f>SUBTOTAL(9,K269:K272)</f>
        <v>65</v>
      </c>
      <c r="L273" s="31">
        <f>SUBTOTAL(9,L269:L272)</f>
        <v>84</v>
      </c>
      <c r="M273" s="214">
        <f>SUBTOTAL(9,M269:M272)</f>
        <v>296</v>
      </c>
      <c r="R273" s="57">
        <f t="shared" ref="R273:W273" si="122">SUBTOTAL(9,R269:R272)</f>
        <v>1061802</v>
      </c>
      <c r="S273" s="414">
        <f t="shared" si="122"/>
        <v>316752</v>
      </c>
      <c r="T273" s="414">
        <f t="shared" si="122"/>
        <v>216664</v>
      </c>
      <c r="U273" s="414">
        <f t="shared" si="122"/>
        <v>212357</v>
      </c>
      <c r="V273" s="414">
        <f t="shared" si="122"/>
        <v>262811</v>
      </c>
      <c r="W273" s="57">
        <f t="shared" si="122"/>
        <v>1008584</v>
      </c>
      <c r="X273" s="55"/>
      <c r="Y273" s="224"/>
      <c r="Z273" s="31">
        <v>152</v>
      </c>
    </row>
    <row r="274" spans="1:26" outlineLevel="1" x14ac:dyDescent="0.15">
      <c r="F274" s="233"/>
      <c r="G274" s="419"/>
      <c r="H274" s="233"/>
      <c r="J274" s="31"/>
      <c r="K274" s="31"/>
      <c r="L274" s="31"/>
      <c r="M274" s="344"/>
      <c r="S274" s="414"/>
      <c r="T274" s="414"/>
      <c r="U274" s="414"/>
      <c r="V274" s="414"/>
      <c r="W274" s="57"/>
      <c r="X274" s="55"/>
      <c r="Y274" s="224"/>
    </row>
    <row r="275" spans="1:26" ht="12.75" hidden="1" outlineLevel="2" x14ac:dyDescent="0.2">
      <c r="A275" s="251" t="s">
        <v>1</v>
      </c>
      <c r="B275" s="251" t="s">
        <v>379</v>
      </c>
      <c r="C275" s="251"/>
      <c r="D275" s="251" t="s">
        <v>410</v>
      </c>
      <c r="E275" s="252" t="s">
        <v>16</v>
      </c>
      <c r="F275" s="253" t="s">
        <v>108</v>
      </c>
      <c r="G275" s="267">
        <v>5</v>
      </c>
      <c r="H275" s="267">
        <v>1</v>
      </c>
      <c r="I275" s="259"/>
      <c r="J275" s="259"/>
      <c r="K275" s="259"/>
      <c r="L275" s="259"/>
      <c r="M275" s="260">
        <f t="shared" si="113"/>
        <v>0</v>
      </c>
      <c r="N275" s="255">
        <v>2100</v>
      </c>
      <c r="O275" s="255">
        <v>2100</v>
      </c>
      <c r="P275" s="255">
        <v>2100</v>
      </c>
      <c r="Q275" s="255">
        <v>2100</v>
      </c>
      <c r="R275" s="262">
        <f t="shared" ref="R275:R296" si="123">SUMPRODUCT(I275:L275,N275:Q275)</f>
        <v>0</v>
      </c>
      <c r="S275" s="269">
        <f t="shared" ref="S275:S296" si="124">IF(N275&gt;prisgrense,I275*prisgrense,I275*N275)</f>
        <v>0</v>
      </c>
      <c r="T275" s="269">
        <f t="shared" ref="T275:T296" si="125">IF(O275&gt;prisgrense,J275*prisgrense,J275*O275)</f>
        <v>0</v>
      </c>
      <c r="U275" s="269">
        <f t="shared" ref="U275:U296" si="126">IF(P275&gt;prisgrense,K275*prisgrense,K275*P275)</f>
        <v>0</v>
      </c>
      <c r="V275" s="269">
        <f t="shared" ref="V275:V296" si="127">IF(Q275&gt;prisgrense,L275*prisgrense,L275*Q275)</f>
        <v>0</v>
      </c>
      <c r="W275" s="262">
        <f t="shared" si="115"/>
        <v>0</v>
      </c>
      <c r="X275" s="213"/>
      <c r="Y275" s="367"/>
      <c r="Z275" s="31">
        <v>153</v>
      </c>
    </row>
    <row r="276" spans="1:26" ht="12.75" hidden="1" outlineLevel="2" x14ac:dyDescent="0.2">
      <c r="A276" s="251" t="s">
        <v>380</v>
      </c>
      <c r="B276" s="251" t="s">
        <v>381</v>
      </c>
      <c r="C276" s="251" t="s">
        <v>207</v>
      </c>
      <c r="D276" s="251" t="s">
        <v>411</v>
      </c>
      <c r="E276" s="252" t="s">
        <v>16</v>
      </c>
      <c r="F276" s="253" t="s">
        <v>106</v>
      </c>
      <c r="G276" s="270">
        <v>5</v>
      </c>
      <c r="H276" s="270">
        <v>2</v>
      </c>
      <c r="I276" s="259">
        <v>0</v>
      </c>
      <c r="J276" s="259">
        <v>0</v>
      </c>
      <c r="K276" s="259">
        <v>0</v>
      </c>
      <c r="L276" s="259">
        <v>0</v>
      </c>
      <c r="M276" s="260">
        <f>SUM(I276:L276)</f>
        <v>0</v>
      </c>
      <c r="N276" s="255">
        <v>1490</v>
      </c>
      <c r="O276" s="255">
        <v>1490</v>
      </c>
      <c r="P276" s="255">
        <v>1490</v>
      </c>
      <c r="Q276" s="255">
        <v>1490</v>
      </c>
      <c r="R276" s="262">
        <f t="shared" si="123"/>
        <v>0</v>
      </c>
      <c r="S276" s="269">
        <f t="shared" si="124"/>
        <v>0</v>
      </c>
      <c r="T276" s="269">
        <f t="shared" si="125"/>
        <v>0</v>
      </c>
      <c r="U276" s="269">
        <f t="shared" si="126"/>
        <v>0</v>
      </c>
      <c r="V276" s="269">
        <f t="shared" si="127"/>
        <v>0</v>
      </c>
      <c r="W276" s="262">
        <f t="shared" si="115"/>
        <v>0</v>
      </c>
      <c r="X276" s="55"/>
      <c r="Y276" s="224"/>
      <c r="Z276" s="31">
        <v>154</v>
      </c>
    </row>
    <row r="277" spans="1:26" ht="12.75" hidden="1" outlineLevel="2" x14ac:dyDescent="0.2">
      <c r="A277" s="251" t="s">
        <v>375</v>
      </c>
      <c r="B277" s="251" t="s">
        <v>376</v>
      </c>
      <c r="C277" s="251" t="s">
        <v>412</v>
      </c>
      <c r="D277" s="251" t="s">
        <v>413</v>
      </c>
      <c r="E277" s="252" t="s">
        <v>16</v>
      </c>
      <c r="F277" s="253" t="s">
        <v>108</v>
      </c>
      <c r="G277" s="408">
        <v>5</v>
      </c>
      <c r="H277" s="408">
        <v>3</v>
      </c>
      <c r="I277" s="259">
        <v>188</v>
      </c>
      <c r="J277" s="259">
        <v>262</v>
      </c>
      <c r="K277" s="259">
        <v>173</v>
      </c>
      <c r="L277" s="259">
        <v>182</v>
      </c>
      <c r="M277" s="260">
        <f t="shared" si="113"/>
        <v>805</v>
      </c>
      <c r="N277" s="255">
        <v>1690</v>
      </c>
      <c r="O277" s="255">
        <v>1690</v>
      </c>
      <c r="P277" s="255">
        <v>1710</v>
      </c>
      <c r="Q277" s="255">
        <v>1710</v>
      </c>
      <c r="R277" s="262">
        <f t="shared" si="123"/>
        <v>1367550</v>
      </c>
      <c r="S277" s="269">
        <f t="shared" si="124"/>
        <v>317720</v>
      </c>
      <c r="T277" s="269">
        <f t="shared" si="125"/>
        <v>442780</v>
      </c>
      <c r="U277" s="269">
        <f t="shared" si="126"/>
        <v>295830</v>
      </c>
      <c r="V277" s="269">
        <f t="shared" si="127"/>
        <v>311220</v>
      </c>
      <c r="W277" s="262">
        <f t="shared" si="115"/>
        <v>1367550</v>
      </c>
      <c r="X277" s="213"/>
      <c r="Y277" s="367"/>
      <c r="Z277" s="31">
        <v>155</v>
      </c>
    </row>
    <row r="278" spans="1:26" ht="12.75" hidden="1" outlineLevel="2" x14ac:dyDescent="0.2">
      <c r="A278" s="251" t="s">
        <v>1</v>
      </c>
      <c r="B278" s="251" t="s">
        <v>379</v>
      </c>
      <c r="C278" s="251"/>
      <c r="D278" s="251" t="s">
        <v>250</v>
      </c>
      <c r="E278" s="252" t="s">
        <v>16</v>
      </c>
      <c r="F278" s="253" t="s">
        <v>106</v>
      </c>
      <c r="G278" s="408">
        <v>5</v>
      </c>
      <c r="H278" s="408">
        <v>4</v>
      </c>
      <c r="I278" s="259"/>
      <c r="J278" s="259"/>
      <c r="K278" s="259"/>
      <c r="L278" s="259"/>
      <c r="M278" s="260">
        <f t="shared" ref="M278:M296" si="128">SUM(I278:L278)</f>
        <v>0</v>
      </c>
      <c r="N278" s="255">
        <v>2100</v>
      </c>
      <c r="O278" s="255">
        <v>2100</v>
      </c>
      <c r="P278" s="255">
        <v>2100</v>
      </c>
      <c r="Q278" s="255">
        <v>2100</v>
      </c>
      <c r="R278" s="262">
        <f t="shared" si="123"/>
        <v>0</v>
      </c>
      <c r="S278" s="269">
        <f t="shared" si="124"/>
        <v>0</v>
      </c>
      <c r="T278" s="269">
        <f t="shared" si="125"/>
        <v>0</v>
      </c>
      <c r="U278" s="269">
        <f t="shared" si="126"/>
        <v>0</v>
      </c>
      <c r="V278" s="269">
        <f t="shared" si="127"/>
        <v>0</v>
      </c>
      <c r="W278" s="262">
        <f t="shared" ref="W278:W296" si="129">SUM(S278:V278)</f>
        <v>0</v>
      </c>
      <c r="X278" s="213"/>
      <c r="Y278" s="367"/>
      <c r="Z278" s="31">
        <v>155</v>
      </c>
    </row>
    <row r="279" spans="1:26" ht="12.75" hidden="1" outlineLevel="2" x14ac:dyDescent="0.2">
      <c r="A279" s="251" t="s">
        <v>375</v>
      </c>
      <c r="B279" s="251" t="s">
        <v>376</v>
      </c>
      <c r="C279" s="251" t="s">
        <v>292</v>
      </c>
      <c r="D279" s="251" t="s">
        <v>414</v>
      </c>
      <c r="E279" s="252" t="s">
        <v>16</v>
      </c>
      <c r="F279" s="253" t="s">
        <v>108</v>
      </c>
      <c r="G279" s="408">
        <v>5</v>
      </c>
      <c r="H279" s="408">
        <v>4</v>
      </c>
      <c r="I279" s="259">
        <v>42</v>
      </c>
      <c r="J279" s="259">
        <v>43</v>
      </c>
      <c r="K279" s="259">
        <v>27</v>
      </c>
      <c r="L279" s="259">
        <v>41</v>
      </c>
      <c r="M279" s="260">
        <f t="shared" si="128"/>
        <v>153</v>
      </c>
      <c r="N279" s="255">
        <v>1490</v>
      </c>
      <c r="O279" s="255">
        <v>1490</v>
      </c>
      <c r="P279" s="255">
        <v>1508</v>
      </c>
      <c r="Q279" s="255">
        <v>1508</v>
      </c>
      <c r="R279" s="262">
        <f t="shared" si="123"/>
        <v>229194</v>
      </c>
      <c r="S279" s="269">
        <f t="shared" si="124"/>
        <v>62580</v>
      </c>
      <c r="T279" s="269">
        <f t="shared" si="125"/>
        <v>64070</v>
      </c>
      <c r="U279" s="269">
        <f t="shared" si="126"/>
        <v>40716</v>
      </c>
      <c r="V279" s="269">
        <f t="shared" si="127"/>
        <v>61828</v>
      </c>
      <c r="W279" s="262">
        <f t="shared" si="129"/>
        <v>229194</v>
      </c>
      <c r="X279" s="213"/>
      <c r="Y279" s="367"/>
      <c r="Z279" s="31">
        <v>155</v>
      </c>
    </row>
    <row r="280" spans="1:26" ht="12.75" hidden="1" outlineLevel="2" x14ac:dyDescent="0.2">
      <c r="A280" s="251" t="s">
        <v>375</v>
      </c>
      <c r="B280" s="251" t="s">
        <v>376</v>
      </c>
      <c r="C280" s="251" t="s">
        <v>300</v>
      </c>
      <c r="D280" s="251" t="s">
        <v>415</v>
      </c>
      <c r="E280" s="252" t="s">
        <v>16</v>
      </c>
      <c r="F280" s="253" t="s">
        <v>108</v>
      </c>
      <c r="G280" s="408">
        <v>5</v>
      </c>
      <c r="H280" s="408">
        <v>5</v>
      </c>
      <c r="I280" s="259">
        <v>0</v>
      </c>
      <c r="J280" s="259">
        <v>0</v>
      </c>
      <c r="K280" s="259">
        <v>0</v>
      </c>
      <c r="L280" s="259">
        <v>0</v>
      </c>
      <c r="M280" s="260">
        <f t="shared" si="128"/>
        <v>0</v>
      </c>
      <c r="N280" s="255">
        <v>1490</v>
      </c>
      <c r="O280" s="255">
        <v>1490</v>
      </c>
      <c r="P280" s="255">
        <v>1508</v>
      </c>
      <c r="Q280" s="255">
        <v>1508</v>
      </c>
      <c r="R280" s="262">
        <f t="shared" si="123"/>
        <v>0</v>
      </c>
      <c r="S280" s="269">
        <f t="shared" si="124"/>
        <v>0</v>
      </c>
      <c r="T280" s="269">
        <f t="shared" si="125"/>
        <v>0</v>
      </c>
      <c r="U280" s="269">
        <f t="shared" si="126"/>
        <v>0</v>
      </c>
      <c r="V280" s="269">
        <f t="shared" si="127"/>
        <v>0</v>
      </c>
      <c r="W280" s="262">
        <f t="shared" si="129"/>
        <v>0</v>
      </c>
      <c r="X280" s="213"/>
      <c r="Y280" s="367"/>
      <c r="Z280" s="31">
        <v>155</v>
      </c>
    </row>
    <row r="281" spans="1:26" ht="12.75" hidden="1" outlineLevel="2" x14ac:dyDescent="0.2">
      <c r="A281" s="251" t="s">
        <v>375</v>
      </c>
      <c r="B281" s="251" t="s">
        <v>376</v>
      </c>
      <c r="C281" s="251" t="s">
        <v>416</v>
      </c>
      <c r="D281" s="251" t="s">
        <v>417</v>
      </c>
      <c r="E281" s="252" t="s">
        <v>16</v>
      </c>
      <c r="F281" s="253" t="s">
        <v>106</v>
      </c>
      <c r="G281" s="408">
        <v>5</v>
      </c>
      <c r="H281" s="408">
        <v>6</v>
      </c>
      <c r="I281" s="259">
        <v>7</v>
      </c>
      <c r="J281" s="259">
        <v>11</v>
      </c>
      <c r="K281" s="259">
        <v>6</v>
      </c>
      <c r="L281" s="259">
        <v>4</v>
      </c>
      <c r="M281" s="260">
        <f t="shared" si="128"/>
        <v>28</v>
      </c>
      <c r="N281" s="255">
        <v>1490</v>
      </c>
      <c r="O281" s="255">
        <v>1490</v>
      </c>
      <c r="P281" s="255">
        <v>1508</v>
      </c>
      <c r="Q281" s="255">
        <v>1508</v>
      </c>
      <c r="R281" s="262">
        <f t="shared" si="123"/>
        <v>41900</v>
      </c>
      <c r="S281" s="269">
        <f t="shared" si="124"/>
        <v>10430</v>
      </c>
      <c r="T281" s="269">
        <f t="shared" si="125"/>
        <v>16390</v>
      </c>
      <c r="U281" s="269">
        <f t="shared" si="126"/>
        <v>9048</v>
      </c>
      <c r="V281" s="269">
        <f t="shared" si="127"/>
        <v>6032</v>
      </c>
      <c r="W281" s="262">
        <f t="shared" si="129"/>
        <v>41900</v>
      </c>
      <c r="X281" s="213"/>
      <c r="Y281" s="367"/>
      <c r="Z281" s="31">
        <v>155</v>
      </c>
    </row>
    <row r="282" spans="1:26" ht="12.75" hidden="1" outlineLevel="2" x14ac:dyDescent="0.2">
      <c r="A282" s="251" t="s">
        <v>1</v>
      </c>
      <c r="B282" s="251" t="s">
        <v>379</v>
      </c>
      <c r="C282" s="251"/>
      <c r="D282" s="251" t="s">
        <v>418</v>
      </c>
      <c r="E282" s="252" t="s">
        <v>16</v>
      </c>
      <c r="F282" s="253" t="s">
        <v>108</v>
      </c>
      <c r="G282" s="408">
        <v>5</v>
      </c>
      <c r="H282" s="408">
        <v>7</v>
      </c>
      <c r="I282" s="259"/>
      <c r="J282" s="259"/>
      <c r="K282" s="259"/>
      <c r="L282" s="259"/>
      <c r="M282" s="260">
        <f t="shared" si="128"/>
        <v>0</v>
      </c>
      <c r="N282" s="255">
        <v>3200</v>
      </c>
      <c r="O282" s="255">
        <v>3200</v>
      </c>
      <c r="P282" s="255">
        <v>3200</v>
      </c>
      <c r="Q282" s="255">
        <v>3200</v>
      </c>
      <c r="R282" s="262">
        <f t="shared" si="123"/>
        <v>0</v>
      </c>
      <c r="S282" s="269">
        <f t="shared" si="124"/>
        <v>0</v>
      </c>
      <c r="T282" s="269">
        <f t="shared" si="125"/>
        <v>0</v>
      </c>
      <c r="U282" s="269">
        <f t="shared" si="126"/>
        <v>0</v>
      </c>
      <c r="V282" s="269">
        <f t="shared" si="127"/>
        <v>0</v>
      </c>
      <c r="W282" s="262">
        <f t="shared" si="129"/>
        <v>0</v>
      </c>
      <c r="X282" s="213"/>
      <c r="Y282" s="367"/>
      <c r="Z282" s="31">
        <v>155</v>
      </c>
    </row>
    <row r="283" spans="1:26" ht="12.75" hidden="1" outlineLevel="2" x14ac:dyDescent="0.2">
      <c r="A283" s="251" t="s">
        <v>389</v>
      </c>
      <c r="B283" s="251" t="s">
        <v>390</v>
      </c>
      <c r="C283" s="251" t="s">
        <v>283</v>
      </c>
      <c r="D283" s="251" t="s">
        <v>288</v>
      </c>
      <c r="E283" s="252" t="s">
        <v>16</v>
      </c>
      <c r="F283" s="253" t="s">
        <v>106</v>
      </c>
      <c r="G283" s="408">
        <v>5</v>
      </c>
      <c r="H283" s="408">
        <v>7</v>
      </c>
      <c r="I283" s="259">
        <v>81</v>
      </c>
      <c r="J283" s="259">
        <v>109</v>
      </c>
      <c r="K283" s="259">
        <v>68</v>
      </c>
      <c r="L283" s="259">
        <v>67</v>
      </c>
      <c r="M283" s="260">
        <f t="shared" si="128"/>
        <v>325</v>
      </c>
      <c r="N283" s="255">
        <v>2200</v>
      </c>
      <c r="O283" s="255">
        <v>2200</v>
      </c>
      <c r="P283" s="255">
        <v>2226</v>
      </c>
      <c r="Q283" s="255">
        <v>2226</v>
      </c>
      <c r="R283" s="262">
        <f t="shared" si="123"/>
        <v>718510</v>
      </c>
      <c r="S283" s="269">
        <f t="shared" si="124"/>
        <v>178200</v>
      </c>
      <c r="T283" s="269">
        <f t="shared" si="125"/>
        <v>239800</v>
      </c>
      <c r="U283" s="269">
        <f t="shared" si="126"/>
        <v>151368</v>
      </c>
      <c r="V283" s="269">
        <f t="shared" si="127"/>
        <v>149142</v>
      </c>
      <c r="W283" s="262">
        <f t="shared" si="129"/>
        <v>718510</v>
      </c>
      <c r="X283" s="213" t="s">
        <v>481</v>
      </c>
      <c r="Y283" s="367"/>
      <c r="Z283" s="31">
        <v>155</v>
      </c>
    </row>
    <row r="284" spans="1:26" ht="12.75" hidden="1" outlineLevel="2" x14ac:dyDescent="0.2">
      <c r="A284" s="251" t="s">
        <v>1</v>
      </c>
      <c r="B284" s="251" t="s">
        <v>379</v>
      </c>
      <c r="C284" s="251"/>
      <c r="D284" s="251" t="s">
        <v>167</v>
      </c>
      <c r="E284" s="252" t="s">
        <v>16</v>
      </c>
      <c r="F284" s="253" t="s">
        <v>108</v>
      </c>
      <c r="G284" s="408">
        <v>5</v>
      </c>
      <c r="H284" s="408">
        <v>8</v>
      </c>
      <c r="I284" s="259">
        <v>5</v>
      </c>
      <c r="J284" s="259">
        <v>20</v>
      </c>
      <c r="K284" s="259">
        <v>11</v>
      </c>
      <c r="L284" s="259">
        <v>23</v>
      </c>
      <c r="M284" s="260">
        <f t="shared" si="128"/>
        <v>59</v>
      </c>
      <c r="N284" s="255">
        <v>3200</v>
      </c>
      <c r="O284" s="255">
        <v>3200</v>
      </c>
      <c r="P284" s="255">
        <v>3200</v>
      </c>
      <c r="Q284" s="255">
        <v>3200</v>
      </c>
      <c r="R284" s="262">
        <f t="shared" si="123"/>
        <v>188800</v>
      </c>
      <c r="S284" s="269">
        <f t="shared" si="124"/>
        <v>16000</v>
      </c>
      <c r="T284" s="269">
        <f t="shared" si="125"/>
        <v>64000</v>
      </c>
      <c r="U284" s="269">
        <f t="shared" si="126"/>
        <v>35200</v>
      </c>
      <c r="V284" s="269">
        <f t="shared" si="127"/>
        <v>73600</v>
      </c>
      <c r="W284" s="262">
        <f t="shared" si="129"/>
        <v>188800</v>
      </c>
      <c r="X284" s="213"/>
      <c r="Y284" s="367"/>
      <c r="Z284" s="31">
        <v>155</v>
      </c>
    </row>
    <row r="285" spans="1:26" ht="12.75" hidden="1" outlineLevel="2" x14ac:dyDescent="0.2">
      <c r="A285" s="251" t="s">
        <v>1</v>
      </c>
      <c r="B285" s="251" t="s">
        <v>379</v>
      </c>
      <c r="C285" s="251"/>
      <c r="D285" s="251" t="s">
        <v>269</v>
      </c>
      <c r="E285" s="252" t="s">
        <v>16</v>
      </c>
      <c r="F285" s="253" t="s">
        <v>106</v>
      </c>
      <c r="G285" s="408">
        <v>5</v>
      </c>
      <c r="H285" s="408">
        <v>9</v>
      </c>
      <c r="I285" s="259"/>
      <c r="J285" s="259"/>
      <c r="K285" s="259"/>
      <c r="L285" s="259"/>
      <c r="M285" s="260">
        <f t="shared" si="128"/>
        <v>0</v>
      </c>
      <c r="N285" s="255">
        <v>3200</v>
      </c>
      <c r="O285" s="255">
        <v>3200</v>
      </c>
      <c r="P285" s="255">
        <v>3200</v>
      </c>
      <c r="Q285" s="255">
        <v>3200</v>
      </c>
      <c r="R285" s="262">
        <f t="shared" si="123"/>
        <v>0</v>
      </c>
      <c r="S285" s="269">
        <f t="shared" si="124"/>
        <v>0</v>
      </c>
      <c r="T285" s="269">
        <f t="shared" si="125"/>
        <v>0</v>
      </c>
      <c r="U285" s="269">
        <f t="shared" si="126"/>
        <v>0</v>
      </c>
      <c r="V285" s="269">
        <f t="shared" si="127"/>
        <v>0</v>
      </c>
      <c r="W285" s="262">
        <f t="shared" si="129"/>
        <v>0</v>
      </c>
      <c r="X285" s="213"/>
      <c r="Y285" s="367"/>
      <c r="Z285" s="31">
        <v>155</v>
      </c>
    </row>
    <row r="286" spans="1:26" ht="12.75" hidden="1" outlineLevel="2" x14ac:dyDescent="0.2">
      <c r="A286" s="251" t="s">
        <v>1</v>
      </c>
      <c r="B286" s="251" t="s">
        <v>379</v>
      </c>
      <c r="C286" s="251"/>
      <c r="D286" s="251" t="s">
        <v>168</v>
      </c>
      <c r="E286" s="252" t="s">
        <v>16</v>
      </c>
      <c r="F286" s="253" t="s">
        <v>106</v>
      </c>
      <c r="G286" s="408">
        <v>5</v>
      </c>
      <c r="H286" s="408">
        <v>10</v>
      </c>
      <c r="I286" s="259"/>
      <c r="J286" s="259"/>
      <c r="K286" s="259"/>
      <c r="L286" s="259"/>
      <c r="M286" s="260">
        <f t="shared" si="128"/>
        <v>0</v>
      </c>
      <c r="N286" s="255">
        <v>3200</v>
      </c>
      <c r="O286" s="255">
        <v>3200</v>
      </c>
      <c r="P286" s="255">
        <v>3200</v>
      </c>
      <c r="Q286" s="255">
        <v>3200</v>
      </c>
      <c r="R286" s="262">
        <f t="shared" si="123"/>
        <v>0</v>
      </c>
      <c r="S286" s="269">
        <f t="shared" si="124"/>
        <v>0</v>
      </c>
      <c r="T286" s="269">
        <f t="shared" si="125"/>
        <v>0</v>
      </c>
      <c r="U286" s="269">
        <f t="shared" si="126"/>
        <v>0</v>
      </c>
      <c r="V286" s="269">
        <f t="shared" si="127"/>
        <v>0</v>
      </c>
      <c r="W286" s="262">
        <f t="shared" si="129"/>
        <v>0</v>
      </c>
      <c r="X286" s="213"/>
      <c r="Y286" s="367"/>
      <c r="Z286" s="31">
        <v>155</v>
      </c>
    </row>
    <row r="287" spans="1:26" ht="12.75" hidden="1" outlineLevel="2" x14ac:dyDescent="0.2">
      <c r="A287" s="251" t="s">
        <v>386</v>
      </c>
      <c r="B287" s="251" t="s">
        <v>429</v>
      </c>
      <c r="C287" s="251"/>
      <c r="D287" s="251" t="s">
        <v>137</v>
      </c>
      <c r="E287" s="252" t="s">
        <v>16</v>
      </c>
      <c r="F287" s="253" t="s">
        <v>108</v>
      </c>
      <c r="G287" s="408">
        <v>5</v>
      </c>
      <c r="H287" s="408">
        <v>11</v>
      </c>
      <c r="I287" s="259"/>
      <c r="J287" s="259">
        <v>6</v>
      </c>
      <c r="K287" s="259">
        <v>2</v>
      </c>
      <c r="L287" s="259">
        <v>3</v>
      </c>
      <c r="M287" s="260">
        <f t="shared" si="128"/>
        <v>11</v>
      </c>
      <c r="N287" s="255">
        <v>2200</v>
      </c>
      <c r="O287" s="255">
        <v>2200</v>
      </c>
      <c r="P287" s="255">
        <v>2226</v>
      </c>
      <c r="Q287" s="255">
        <v>2226</v>
      </c>
      <c r="R287" s="262">
        <f t="shared" si="123"/>
        <v>24330</v>
      </c>
      <c r="S287" s="269">
        <f t="shared" si="124"/>
        <v>0</v>
      </c>
      <c r="T287" s="269">
        <f t="shared" si="125"/>
        <v>13200</v>
      </c>
      <c r="U287" s="269">
        <f t="shared" si="126"/>
        <v>4452</v>
      </c>
      <c r="V287" s="269">
        <f t="shared" si="127"/>
        <v>6678</v>
      </c>
      <c r="W287" s="262">
        <f t="shared" si="129"/>
        <v>24330</v>
      </c>
      <c r="X287" s="213"/>
      <c r="Y287" s="367"/>
      <c r="Z287" s="31">
        <v>155</v>
      </c>
    </row>
    <row r="288" spans="1:26" ht="12.75" hidden="1" outlineLevel="2" x14ac:dyDescent="0.2">
      <c r="A288" s="251" t="s">
        <v>377</v>
      </c>
      <c r="B288" s="251" t="s">
        <v>378</v>
      </c>
      <c r="C288" s="251"/>
      <c r="D288" s="251" t="s">
        <v>419</v>
      </c>
      <c r="E288" s="252" t="s">
        <v>16</v>
      </c>
      <c r="F288" s="253" t="s">
        <v>106</v>
      </c>
      <c r="G288" s="408">
        <v>5</v>
      </c>
      <c r="H288" s="408">
        <v>12</v>
      </c>
      <c r="I288" s="259">
        <v>0</v>
      </c>
      <c r="J288" s="259"/>
      <c r="K288" s="259"/>
      <c r="L288" s="259"/>
      <c r="M288" s="260">
        <f t="shared" si="128"/>
        <v>0</v>
      </c>
      <c r="N288" s="255">
        <v>3400</v>
      </c>
      <c r="O288" s="255">
        <v>3400</v>
      </c>
      <c r="P288" s="255">
        <v>3400</v>
      </c>
      <c r="Q288" s="255">
        <v>3400</v>
      </c>
      <c r="R288" s="262">
        <f t="shared" si="123"/>
        <v>0</v>
      </c>
      <c r="S288" s="269">
        <f t="shared" si="124"/>
        <v>0</v>
      </c>
      <c r="T288" s="269">
        <f t="shared" si="125"/>
        <v>0</v>
      </c>
      <c r="U288" s="269">
        <f t="shared" si="126"/>
        <v>0</v>
      </c>
      <c r="V288" s="269">
        <f t="shared" si="127"/>
        <v>0</v>
      </c>
      <c r="W288" s="262">
        <f t="shared" si="129"/>
        <v>0</v>
      </c>
      <c r="X288" s="213"/>
      <c r="Y288" s="367"/>
      <c r="Z288" s="31">
        <v>155</v>
      </c>
    </row>
    <row r="289" spans="1:26" ht="12.75" hidden="1" outlineLevel="2" x14ac:dyDescent="0.2">
      <c r="A289" s="251" t="s">
        <v>377</v>
      </c>
      <c r="B289" s="251" t="s">
        <v>378</v>
      </c>
      <c r="C289" s="251"/>
      <c r="D289" s="251" t="s">
        <v>420</v>
      </c>
      <c r="E289" s="252" t="s">
        <v>16</v>
      </c>
      <c r="F289" s="253" t="s">
        <v>106</v>
      </c>
      <c r="G289" s="408">
        <v>5</v>
      </c>
      <c r="H289" s="408">
        <v>13</v>
      </c>
      <c r="I289" s="259">
        <v>4</v>
      </c>
      <c r="J289" s="259">
        <v>2</v>
      </c>
      <c r="K289" s="259"/>
      <c r="L289" s="259">
        <v>8</v>
      </c>
      <c r="M289" s="260">
        <f t="shared" si="128"/>
        <v>14</v>
      </c>
      <c r="N289" s="255">
        <v>3000</v>
      </c>
      <c r="O289" s="255">
        <v>3000</v>
      </c>
      <c r="P289" s="255">
        <v>3000</v>
      </c>
      <c r="Q289" s="255">
        <v>3000</v>
      </c>
      <c r="R289" s="262">
        <f t="shared" si="123"/>
        <v>42000</v>
      </c>
      <c r="S289" s="269">
        <f t="shared" si="124"/>
        <v>12000</v>
      </c>
      <c r="T289" s="269">
        <f t="shared" si="125"/>
        <v>6000</v>
      </c>
      <c r="U289" s="269">
        <f t="shared" si="126"/>
        <v>0</v>
      </c>
      <c r="V289" s="269">
        <f t="shared" si="127"/>
        <v>24000</v>
      </c>
      <c r="W289" s="262">
        <f t="shared" si="129"/>
        <v>42000</v>
      </c>
      <c r="X289" s="213"/>
      <c r="Y289" s="367"/>
      <c r="Z289" s="31">
        <v>155</v>
      </c>
    </row>
    <row r="290" spans="1:26" ht="12.75" hidden="1" outlineLevel="2" x14ac:dyDescent="0.2">
      <c r="A290" s="251" t="s">
        <v>386</v>
      </c>
      <c r="B290" s="251" t="s">
        <v>429</v>
      </c>
      <c r="C290" s="251"/>
      <c r="D290" s="251" t="s">
        <v>421</v>
      </c>
      <c r="E290" s="252" t="s">
        <v>16</v>
      </c>
      <c r="F290" s="253" t="s">
        <v>106</v>
      </c>
      <c r="G290" s="408">
        <v>5</v>
      </c>
      <c r="H290" s="408">
        <v>14</v>
      </c>
      <c r="I290" s="259"/>
      <c r="J290" s="259"/>
      <c r="K290" s="259"/>
      <c r="L290" s="259"/>
      <c r="M290" s="260">
        <f t="shared" si="128"/>
        <v>0</v>
      </c>
      <c r="N290" s="255">
        <v>2500</v>
      </c>
      <c r="O290" s="255">
        <v>2500</v>
      </c>
      <c r="P290" s="255">
        <v>2530</v>
      </c>
      <c r="Q290" s="255">
        <v>2530</v>
      </c>
      <c r="R290" s="262">
        <f t="shared" si="123"/>
        <v>0</v>
      </c>
      <c r="S290" s="269">
        <f t="shared" si="124"/>
        <v>0</v>
      </c>
      <c r="T290" s="269">
        <f t="shared" si="125"/>
        <v>0</v>
      </c>
      <c r="U290" s="269">
        <f t="shared" si="126"/>
        <v>0</v>
      </c>
      <c r="V290" s="269">
        <f t="shared" si="127"/>
        <v>0</v>
      </c>
      <c r="W290" s="262">
        <f t="shared" si="129"/>
        <v>0</v>
      </c>
      <c r="X290" s="213"/>
      <c r="Y290" s="367"/>
      <c r="Z290" s="31">
        <v>155</v>
      </c>
    </row>
    <row r="291" spans="1:26" ht="12.75" hidden="1" outlineLevel="2" x14ac:dyDescent="0.2">
      <c r="A291" s="251" t="s">
        <v>386</v>
      </c>
      <c r="B291" s="251" t="s">
        <v>429</v>
      </c>
      <c r="C291" s="251"/>
      <c r="D291" s="251" t="s">
        <v>422</v>
      </c>
      <c r="E291" s="252" t="s">
        <v>16</v>
      </c>
      <c r="F291" s="253" t="s">
        <v>106</v>
      </c>
      <c r="G291" s="408">
        <v>5</v>
      </c>
      <c r="H291" s="408">
        <v>15</v>
      </c>
      <c r="I291" s="259"/>
      <c r="J291" s="259"/>
      <c r="K291" s="259"/>
      <c r="L291" s="259"/>
      <c r="M291" s="260">
        <f t="shared" si="128"/>
        <v>0</v>
      </c>
      <c r="N291" s="255">
        <v>2700</v>
      </c>
      <c r="O291" s="255">
        <v>2700</v>
      </c>
      <c r="P291" s="255">
        <v>2732</v>
      </c>
      <c r="Q291" s="255">
        <v>2732</v>
      </c>
      <c r="R291" s="262">
        <f t="shared" si="123"/>
        <v>0</v>
      </c>
      <c r="S291" s="269">
        <f t="shared" si="124"/>
        <v>0</v>
      </c>
      <c r="T291" s="269">
        <f t="shared" si="125"/>
        <v>0</v>
      </c>
      <c r="U291" s="269">
        <f t="shared" si="126"/>
        <v>0</v>
      </c>
      <c r="V291" s="269">
        <f t="shared" si="127"/>
        <v>0</v>
      </c>
      <c r="W291" s="262">
        <f t="shared" si="129"/>
        <v>0</v>
      </c>
      <c r="X291" s="213"/>
      <c r="Y291" s="367"/>
      <c r="Z291" s="31">
        <v>155</v>
      </c>
    </row>
    <row r="292" spans="1:26" ht="12.75" hidden="1" outlineLevel="2" x14ac:dyDescent="0.2">
      <c r="A292" s="251" t="s">
        <v>384</v>
      </c>
      <c r="B292" s="251" t="s">
        <v>385</v>
      </c>
      <c r="C292" s="251" t="s">
        <v>423</v>
      </c>
      <c r="D292" s="251" t="s">
        <v>424</v>
      </c>
      <c r="E292" s="252" t="s">
        <v>16</v>
      </c>
      <c r="F292" s="253" t="s">
        <v>106</v>
      </c>
      <c r="G292" s="408">
        <v>5</v>
      </c>
      <c r="H292" s="408">
        <v>16</v>
      </c>
      <c r="I292" s="259">
        <v>2</v>
      </c>
      <c r="J292" s="259"/>
      <c r="K292" s="259"/>
      <c r="L292" s="259"/>
      <c r="M292" s="260">
        <f t="shared" si="128"/>
        <v>2</v>
      </c>
      <c r="N292" s="255">
        <v>3500</v>
      </c>
      <c r="O292" s="255">
        <v>3500</v>
      </c>
      <c r="P292" s="255">
        <v>3500</v>
      </c>
      <c r="Q292" s="255">
        <v>3500</v>
      </c>
      <c r="R292" s="262">
        <f t="shared" si="123"/>
        <v>7000</v>
      </c>
      <c r="S292" s="269">
        <f t="shared" si="124"/>
        <v>7000</v>
      </c>
      <c r="T292" s="269">
        <f t="shared" si="125"/>
        <v>0</v>
      </c>
      <c r="U292" s="269">
        <f t="shared" si="126"/>
        <v>0</v>
      </c>
      <c r="V292" s="269">
        <f t="shared" si="127"/>
        <v>0</v>
      </c>
      <c r="W292" s="262">
        <f t="shared" si="129"/>
        <v>7000</v>
      </c>
      <c r="X292" s="213"/>
      <c r="Y292" s="367"/>
      <c r="Z292" s="31">
        <v>155</v>
      </c>
    </row>
    <row r="293" spans="1:26" ht="12.75" hidden="1" outlineLevel="2" x14ac:dyDescent="0.2">
      <c r="A293" s="251" t="s">
        <v>386</v>
      </c>
      <c r="B293" s="251" t="s">
        <v>429</v>
      </c>
      <c r="C293" s="251"/>
      <c r="D293" s="251" t="s">
        <v>425</v>
      </c>
      <c r="E293" s="252" t="s">
        <v>16</v>
      </c>
      <c r="F293" s="253" t="s">
        <v>106</v>
      </c>
      <c r="G293" s="408">
        <v>5</v>
      </c>
      <c r="H293" s="408">
        <v>17</v>
      </c>
      <c r="I293" s="259">
        <v>9</v>
      </c>
      <c r="J293" s="259">
        <v>11</v>
      </c>
      <c r="K293" s="259"/>
      <c r="L293" s="259"/>
      <c r="M293" s="260">
        <f t="shared" si="128"/>
        <v>20</v>
      </c>
      <c r="N293" s="255">
        <v>3000</v>
      </c>
      <c r="O293" s="255">
        <v>3000</v>
      </c>
      <c r="P293" s="255">
        <v>3036</v>
      </c>
      <c r="Q293" s="255">
        <v>3036</v>
      </c>
      <c r="R293" s="262">
        <f>SUMPRODUCT(I293:L293,N293:Q293)</f>
        <v>60000</v>
      </c>
      <c r="S293" s="269">
        <f t="shared" si="124"/>
        <v>27000</v>
      </c>
      <c r="T293" s="269">
        <f t="shared" si="125"/>
        <v>33000</v>
      </c>
      <c r="U293" s="269">
        <f>IF(P293&gt;prisgrense,K293*prisgrense,K293*P293)</f>
        <v>0</v>
      </c>
      <c r="V293" s="269">
        <f>IF(Q293&gt;prisgrense,L293*prisgrense,L293*Q293)</f>
        <v>0</v>
      </c>
      <c r="W293" s="262">
        <f t="shared" si="129"/>
        <v>60000</v>
      </c>
      <c r="X293" s="213"/>
      <c r="Y293" s="367"/>
      <c r="Z293" s="31">
        <v>155</v>
      </c>
    </row>
    <row r="294" spans="1:26" ht="12.75" hidden="1" outlineLevel="2" x14ac:dyDescent="0.2">
      <c r="A294" s="251" t="s">
        <v>384</v>
      </c>
      <c r="B294" s="251" t="s">
        <v>385</v>
      </c>
      <c r="C294" s="251" t="s">
        <v>423</v>
      </c>
      <c r="D294" s="251" t="s">
        <v>426</v>
      </c>
      <c r="E294" s="252" t="s">
        <v>16</v>
      </c>
      <c r="F294" s="253" t="s">
        <v>106</v>
      </c>
      <c r="G294" s="408">
        <v>5</v>
      </c>
      <c r="H294" s="408">
        <v>18</v>
      </c>
      <c r="I294" s="259">
        <v>21</v>
      </c>
      <c r="J294" s="259">
        <v>32</v>
      </c>
      <c r="K294" s="259">
        <v>21</v>
      </c>
      <c r="L294" s="259">
        <v>43</v>
      </c>
      <c r="M294" s="260">
        <f t="shared" si="128"/>
        <v>117</v>
      </c>
      <c r="N294" s="255">
        <v>4500</v>
      </c>
      <c r="O294" s="255">
        <v>4500</v>
      </c>
      <c r="P294" s="255">
        <v>4500</v>
      </c>
      <c r="Q294" s="255">
        <v>4500</v>
      </c>
      <c r="R294" s="262">
        <f t="shared" si="123"/>
        <v>526500</v>
      </c>
      <c r="S294" s="269">
        <f t="shared" si="124"/>
        <v>94500</v>
      </c>
      <c r="T294" s="269">
        <f t="shared" si="125"/>
        <v>144000</v>
      </c>
      <c r="U294" s="269">
        <f t="shared" si="126"/>
        <v>94500</v>
      </c>
      <c r="V294" s="269">
        <f t="shared" si="127"/>
        <v>193500</v>
      </c>
      <c r="W294" s="262">
        <f t="shared" si="129"/>
        <v>526500</v>
      </c>
      <c r="X294" s="213"/>
      <c r="Y294" s="367"/>
      <c r="Z294" s="31">
        <v>155</v>
      </c>
    </row>
    <row r="295" spans="1:26" ht="12.75" hidden="1" outlineLevel="2" x14ac:dyDescent="0.2">
      <c r="A295" s="251" t="s">
        <v>384</v>
      </c>
      <c r="B295" s="251" t="s">
        <v>385</v>
      </c>
      <c r="C295" s="251" t="s">
        <v>423</v>
      </c>
      <c r="D295" s="251" t="s">
        <v>427</v>
      </c>
      <c r="E295" s="252" t="s">
        <v>16</v>
      </c>
      <c r="F295" s="253" t="s">
        <v>106</v>
      </c>
      <c r="G295" s="408">
        <v>5</v>
      </c>
      <c r="H295" s="408">
        <v>19</v>
      </c>
      <c r="I295" s="259">
        <v>238</v>
      </c>
      <c r="J295" s="259">
        <v>387</v>
      </c>
      <c r="K295" s="259">
        <v>282</v>
      </c>
      <c r="L295" s="259">
        <v>315</v>
      </c>
      <c r="M295" s="260">
        <f t="shared" si="128"/>
        <v>1222</v>
      </c>
      <c r="N295" s="255">
        <v>4857</v>
      </c>
      <c r="O295" s="255">
        <v>4857</v>
      </c>
      <c r="P295" s="255">
        <v>4857</v>
      </c>
      <c r="Q295" s="255">
        <v>4857</v>
      </c>
      <c r="R295" s="262">
        <f t="shared" si="123"/>
        <v>5935254</v>
      </c>
      <c r="S295" s="269">
        <f t="shared" si="124"/>
        <v>1081472</v>
      </c>
      <c r="T295" s="269">
        <f t="shared" si="125"/>
        <v>1758528</v>
      </c>
      <c r="U295" s="269">
        <f t="shared" si="126"/>
        <v>1281408</v>
      </c>
      <c r="V295" s="269">
        <f t="shared" si="127"/>
        <v>1431360</v>
      </c>
      <c r="W295" s="262">
        <f t="shared" si="129"/>
        <v>5552768</v>
      </c>
      <c r="X295" s="213"/>
      <c r="Y295" s="367"/>
      <c r="Z295" s="31">
        <v>155</v>
      </c>
    </row>
    <row r="296" spans="1:26" ht="12.75" hidden="1" outlineLevel="2" x14ac:dyDescent="0.2">
      <c r="A296" s="251" t="s">
        <v>388</v>
      </c>
      <c r="B296" s="251" t="s">
        <v>95</v>
      </c>
      <c r="C296" s="251" t="s">
        <v>365</v>
      </c>
      <c r="D296" s="251" t="s">
        <v>428</v>
      </c>
      <c r="E296" s="252" t="s">
        <v>16</v>
      </c>
      <c r="F296" s="253" t="s">
        <v>106</v>
      </c>
      <c r="G296" s="408">
        <v>5</v>
      </c>
      <c r="H296" s="408">
        <v>20</v>
      </c>
      <c r="I296" s="259">
        <v>9</v>
      </c>
      <c r="J296" s="259">
        <v>11</v>
      </c>
      <c r="K296" s="259">
        <v>5</v>
      </c>
      <c r="L296" s="259">
        <v>11</v>
      </c>
      <c r="M296" s="260">
        <f t="shared" si="128"/>
        <v>36</v>
      </c>
      <c r="N296" s="255">
        <v>4200</v>
      </c>
      <c r="O296" s="255">
        <v>4200</v>
      </c>
      <c r="P296" s="255">
        <v>4250</v>
      </c>
      <c r="Q296" s="255">
        <v>4250</v>
      </c>
      <c r="R296" s="262">
        <f t="shared" si="123"/>
        <v>152000</v>
      </c>
      <c r="S296" s="269">
        <f t="shared" si="124"/>
        <v>37800</v>
      </c>
      <c r="T296" s="269">
        <f t="shared" si="125"/>
        <v>46200</v>
      </c>
      <c r="U296" s="269">
        <f t="shared" si="126"/>
        <v>21250</v>
      </c>
      <c r="V296" s="269">
        <f t="shared" si="127"/>
        <v>46750</v>
      </c>
      <c r="W296" s="262">
        <f t="shared" si="129"/>
        <v>152000</v>
      </c>
      <c r="X296" s="213"/>
      <c r="Y296" s="367"/>
      <c r="Z296" s="31">
        <v>155</v>
      </c>
    </row>
    <row r="297" spans="1:26" ht="11.25" outlineLevel="1" collapsed="1" x14ac:dyDescent="0.2">
      <c r="D297" s="343" t="s">
        <v>645</v>
      </c>
      <c r="G297" s="238" t="s">
        <v>176</v>
      </c>
      <c r="I297" s="31">
        <f>SUBTOTAL(9,I275:I296)</f>
        <v>606</v>
      </c>
      <c r="J297" s="31">
        <f>SUBTOTAL(9,J275:J296)</f>
        <v>894</v>
      </c>
      <c r="K297" s="31">
        <f>SUBTOTAL(9,K275:K296)</f>
        <v>595</v>
      </c>
      <c r="L297" s="31">
        <f>SUBTOTAL(9,L275:L296)</f>
        <v>697</v>
      </c>
      <c r="M297" s="214">
        <f>SUBTOTAL(9,M275:M296)</f>
        <v>2792</v>
      </c>
      <c r="R297" s="57">
        <f t="shared" ref="R297:W297" si="130">SUBTOTAL(9,R275:R296)</f>
        <v>9293038</v>
      </c>
      <c r="S297" s="414">
        <f t="shared" si="130"/>
        <v>1844702</v>
      </c>
      <c r="T297" s="414">
        <f t="shared" si="130"/>
        <v>2827968</v>
      </c>
      <c r="U297" s="414">
        <f t="shared" si="130"/>
        <v>1933772</v>
      </c>
      <c r="V297" s="414">
        <f t="shared" si="130"/>
        <v>2304110</v>
      </c>
      <c r="W297" s="57">
        <f t="shared" si="130"/>
        <v>8910552</v>
      </c>
      <c r="X297" s="55"/>
      <c r="Y297" s="224"/>
      <c r="Z297" s="31">
        <v>163</v>
      </c>
    </row>
    <row r="298" spans="1:26" outlineLevel="1" x14ac:dyDescent="0.15">
      <c r="G298" s="238"/>
      <c r="J298" s="31"/>
      <c r="K298" s="31"/>
      <c r="L298" s="31"/>
      <c r="M298" s="344"/>
      <c r="S298" s="414"/>
      <c r="T298" s="414"/>
      <c r="U298" s="414"/>
      <c r="V298" s="414"/>
      <c r="W298" s="57"/>
      <c r="X298" s="55"/>
      <c r="Y298" s="224"/>
    </row>
    <row r="299" spans="1:26" ht="12.75" hidden="1" outlineLevel="2" x14ac:dyDescent="0.2">
      <c r="A299" s="251" t="s">
        <v>375</v>
      </c>
      <c r="B299" s="251" t="s">
        <v>376</v>
      </c>
      <c r="C299" s="251" t="s">
        <v>292</v>
      </c>
      <c r="D299" s="251" t="s">
        <v>293</v>
      </c>
      <c r="E299" s="252" t="s">
        <v>16</v>
      </c>
      <c r="F299" s="253" t="s">
        <v>108</v>
      </c>
      <c r="G299" s="267">
        <v>6</v>
      </c>
      <c r="H299" s="267">
        <v>1</v>
      </c>
      <c r="I299" s="259"/>
      <c r="J299" s="259"/>
      <c r="K299" s="259"/>
      <c r="L299" s="259"/>
      <c r="M299" s="260">
        <f t="shared" si="113"/>
        <v>0</v>
      </c>
      <c r="N299" s="255">
        <v>2990</v>
      </c>
      <c r="O299" s="255">
        <v>2990</v>
      </c>
      <c r="P299" s="255">
        <v>2990</v>
      </c>
      <c r="Q299" s="255">
        <v>2990</v>
      </c>
      <c r="R299" s="262">
        <f>SUMPRODUCT(I299:L299,N299:Q299)</f>
        <v>0</v>
      </c>
      <c r="S299" s="269">
        <f t="shared" ref="S299:V300" si="131">IF(N299&gt;prisgrense,I299*prisgrense,I299*N299)</f>
        <v>0</v>
      </c>
      <c r="T299" s="269">
        <f t="shared" si="131"/>
        <v>0</v>
      </c>
      <c r="U299" s="269">
        <f t="shared" si="131"/>
        <v>0</v>
      </c>
      <c r="V299" s="269">
        <f t="shared" si="131"/>
        <v>0</v>
      </c>
      <c r="W299" s="262">
        <f t="shared" si="115"/>
        <v>0</v>
      </c>
      <c r="X299" s="55" t="s">
        <v>633</v>
      </c>
      <c r="Y299" s="367"/>
      <c r="Z299" s="31">
        <v>164</v>
      </c>
    </row>
    <row r="300" spans="1:26" ht="12.75" hidden="1" outlineLevel="2" x14ac:dyDescent="0.2">
      <c r="A300" s="251" t="s">
        <v>375</v>
      </c>
      <c r="B300" s="251" t="s">
        <v>376</v>
      </c>
      <c r="C300" s="251" t="s">
        <v>612</v>
      </c>
      <c r="D300" s="251" t="s">
        <v>615</v>
      </c>
      <c r="E300" s="252" t="s">
        <v>16</v>
      </c>
      <c r="F300" s="253" t="s">
        <v>108</v>
      </c>
      <c r="G300" s="267">
        <v>6</v>
      </c>
      <c r="H300" s="267">
        <v>2</v>
      </c>
      <c r="I300" s="259"/>
      <c r="J300" s="259"/>
      <c r="K300" s="259">
        <v>2</v>
      </c>
      <c r="L300" s="259"/>
      <c r="M300" s="260">
        <f t="shared" si="113"/>
        <v>2</v>
      </c>
      <c r="N300" s="255"/>
      <c r="O300" s="255"/>
      <c r="P300" s="255">
        <v>3026</v>
      </c>
      <c r="Q300" s="255">
        <v>3026</v>
      </c>
      <c r="R300" s="262">
        <f>SUMPRODUCT(I300:L300,N300:Q300)</f>
        <v>6052</v>
      </c>
      <c r="S300" s="269">
        <f t="shared" si="131"/>
        <v>0</v>
      </c>
      <c r="T300" s="269">
        <f t="shared" si="131"/>
        <v>0</v>
      </c>
      <c r="U300" s="269">
        <f t="shared" si="131"/>
        <v>6052</v>
      </c>
      <c r="V300" s="269">
        <f t="shared" si="131"/>
        <v>0</v>
      </c>
      <c r="W300" s="262">
        <f t="shared" si="115"/>
        <v>6052</v>
      </c>
      <c r="X300" s="55" t="s">
        <v>583</v>
      </c>
      <c r="Y300" s="367"/>
      <c r="Z300" s="31">
        <v>165</v>
      </c>
    </row>
    <row r="301" spans="1:26" ht="11.25" outlineLevel="1" collapsed="1" x14ac:dyDescent="0.2">
      <c r="D301" s="343" t="s">
        <v>646</v>
      </c>
      <c r="G301" s="238" t="s">
        <v>177</v>
      </c>
      <c r="I301" s="31">
        <f>SUBTOTAL(9,I299:I300)</f>
        <v>0</v>
      </c>
      <c r="J301" s="31">
        <f>SUBTOTAL(9,J299:J300)</f>
        <v>0</v>
      </c>
      <c r="K301" s="31">
        <f>SUBTOTAL(9,K299:K300)</f>
        <v>2</v>
      </c>
      <c r="L301" s="31">
        <f>SUBTOTAL(9,L299:L300)</f>
        <v>0</v>
      </c>
      <c r="M301" s="214">
        <f>SUBTOTAL(9,M299:M300)</f>
        <v>2</v>
      </c>
      <c r="R301" s="57">
        <f t="shared" ref="R301:W301" si="132">SUBTOTAL(9,R299:R300)</f>
        <v>6052</v>
      </c>
      <c r="S301" s="414">
        <f t="shared" si="132"/>
        <v>0</v>
      </c>
      <c r="T301" s="414">
        <f t="shared" si="132"/>
        <v>0</v>
      </c>
      <c r="U301" s="414">
        <f t="shared" si="132"/>
        <v>6052</v>
      </c>
      <c r="V301" s="414">
        <f t="shared" si="132"/>
        <v>0</v>
      </c>
      <c r="W301" s="57">
        <f t="shared" si="132"/>
        <v>6052</v>
      </c>
      <c r="X301" s="55"/>
      <c r="Y301" s="224"/>
      <c r="Z301" s="31">
        <v>177</v>
      </c>
    </row>
    <row r="302" spans="1:26" outlineLevel="1" x14ac:dyDescent="0.15">
      <c r="G302" s="238"/>
      <c r="J302" s="31"/>
      <c r="K302" s="31"/>
      <c r="L302" s="31"/>
      <c r="M302" s="344"/>
      <c r="S302" s="414"/>
      <c r="T302" s="414"/>
      <c r="U302" s="414"/>
      <c r="V302" s="414"/>
      <c r="W302" s="57"/>
      <c r="X302" s="55"/>
      <c r="Y302" s="224"/>
    </row>
    <row r="303" spans="1:26" ht="12.75" hidden="1" outlineLevel="2" x14ac:dyDescent="0.2">
      <c r="A303" s="251" t="s">
        <v>384</v>
      </c>
      <c r="B303" s="251" t="s">
        <v>435</v>
      </c>
      <c r="C303" s="251" t="s">
        <v>430</v>
      </c>
      <c r="D303" s="251" t="s">
        <v>431</v>
      </c>
      <c r="E303" s="252" t="s">
        <v>641</v>
      </c>
      <c r="F303" s="270" t="s">
        <v>290</v>
      </c>
      <c r="G303" s="267">
        <v>7</v>
      </c>
      <c r="H303" s="420">
        <v>1</v>
      </c>
      <c r="I303" s="259"/>
      <c r="J303" s="259">
        <v>2</v>
      </c>
      <c r="K303" s="259"/>
      <c r="L303" s="259">
        <v>2</v>
      </c>
      <c r="M303" s="260">
        <f t="shared" si="113"/>
        <v>4</v>
      </c>
      <c r="N303" s="255">
        <v>30000</v>
      </c>
      <c r="O303" s="255">
        <v>30000</v>
      </c>
      <c r="P303" s="255">
        <v>30000</v>
      </c>
      <c r="Q303" s="255">
        <v>30000</v>
      </c>
      <c r="R303" s="262">
        <f>SUMPRODUCT(I303:L303,N303:Q303)</f>
        <v>120000</v>
      </c>
      <c r="S303" s="269">
        <f>I303*N303</f>
        <v>0</v>
      </c>
      <c r="T303" s="269">
        <f>J303*O303</f>
        <v>60000</v>
      </c>
      <c r="U303" s="269">
        <f>K303*P303</f>
        <v>0</v>
      </c>
      <c r="V303" s="269">
        <f>L303*Q303</f>
        <v>60000</v>
      </c>
      <c r="W303" s="262">
        <f t="shared" si="115"/>
        <v>120000</v>
      </c>
      <c r="X303" s="213"/>
      <c r="Y303" s="367"/>
      <c r="Z303" s="31">
        <v>178</v>
      </c>
    </row>
    <row r="304" spans="1:26" ht="12.75" hidden="1" outlineLevel="2" x14ac:dyDescent="0.2">
      <c r="A304" s="251" t="s">
        <v>384</v>
      </c>
      <c r="B304" s="251" t="s">
        <v>435</v>
      </c>
      <c r="C304" s="251" t="s">
        <v>430</v>
      </c>
      <c r="D304" s="251" t="s">
        <v>432</v>
      </c>
      <c r="E304" s="252" t="s">
        <v>641</v>
      </c>
      <c r="F304" s="270" t="s">
        <v>290</v>
      </c>
      <c r="G304" s="267">
        <v>7</v>
      </c>
      <c r="H304" s="420">
        <v>2</v>
      </c>
      <c r="I304" s="259"/>
      <c r="J304" s="259">
        <v>2</v>
      </c>
      <c r="K304" s="259"/>
      <c r="L304" s="259">
        <v>2</v>
      </c>
      <c r="M304" s="260">
        <f t="shared" ref="M304:M305" si="133">SUM(I304:L304)</f>
        <v>4</v>
      </c>
      <c r="N304" s="255">
        <v>33000</v>
      </c>
      <c r="O304" s="255">
        <v>33000</v>
      </c>
      <c r="P304" s="255">
        <v>33000</v>
      </c>
      <c r="Q304" s="255">
        <v>33000</v>
      </c>
      <c r="R304" s="262">
        <f>SUMPRODUCT(I304:L304,N304:Q304)</f>
        <v>132000</v>
      </c>
      <c r="S304" s="269">
        <f t="shared" ref="S304:S307" si="134">I304*N304</f>
        <v>0</v>
      </c>
      <c r="T304" s="269">
        <f t="shared" ref="T304:T307" si="135">J304*O304</f>
        <v>66000</v>
      </c>
      <c r="U304" s="269">
        <f t="shared" ref="U304:U307" si="136">K304*P304</f>
        <v>0</v>
      </c>
      <c r="V304" s="269">
        <f t="shared" ref="V304:V307" si="137">L304*Q304</f>
        <v>66000</v>
      </c>
      <c r="W304" s="262">
        <f t="shared" ref="W304:W305" si="138">SUM(S304:V304)</f>
        <v>132000</v>
      </c>
      <c r="X304" s="213"/>
      <c r="Y304" s="367"/>
      <c r="Z304" s="31">
        <v>178</v>
      </c>
    </row>
    <row r="305" spans="1:26" ht="12.75" hidden="1" outlineLevel="2" x14ac:dyDescent="0.2">
      <c r="A305" s="251" t="s">
        <v>1</v>
      </c>
      <c r="B305" s="251" t="s">
        <v>436</v>
      </c>
      <c r="C305" s="251"/>
      <c r="D305" s="251" t="s">
        <v>433</v>
      </c>
      <c r="E305" s="252" t="s">
        <v>641</v>
      </c>
      <c r="F305" s="270" t="s">
        <v>290</v>
      </c>
      <c r="G305" s="267">
        <v>7</v>
      </c>
      <c r="H305" s="421">
        <v>3</v>
      </c>
      <c r="I305" s="259">
        <v>5</v>
      </c>
      <c r="J305" s="259"/>
      <c r="K305" s="259">
        <v>3</v>
      </c>
      <c r="L305" s="259">
        <v>7</v>
      </c>
      <c r="M305" s="260">
        <f t="shared" si="133"/>
        <v>15</v>
      </c>
      <c r="N305" s="255">
        <v>30500</v>
      </c>
      <c r="O305" s="255">
        <v>30500</v>
      </c>
      <c r="P305" s="255">
        <v>30500</v>
      </c>
      <c r="Q305" s="255">
        <v>30500</v>
      </c>
      <c r="R305" s="262">
        <f>SUMPRODUCT(I305:L305,N305:Q305)</f>
        <v>457500</v>
      </c>
      <c r="S305" s="269">
        <f t="shared" si="134"/>
        <v>152500</v>
      </c>
      <c r="T305" s="269">
        <f t="shared" si="135"/>
        <v>0</v>
      </c>
      <c r="U305" s="269">
        <f t="shared" si="136"/>
        <v>91500</v>
      </c>
      <c r="V305" s="269">
        <f t="shared" si="137"/>
        <v>213500</v>
      </c>
      <c r="W305" s="262">
        <f t="shared" si="138"/>
        <v>457500</v>
      </c>
      <c r="X305" s="213"/>
      <c r="Y305" s="367"/>
      <c r="Z305" s="31">
        <v>178</v>
      </c>
    </row>
    <row r="306" spans="1:26" ht="12.75" hidden="1" outlineLevel="2" x14ac:dyDescent="0.2">
      <c r="A306" s="251" t="s">
        <v>384</v>
      </c>
      <c r="B306" s="251" t="s">
        <v>435</v>
      </c>
      <c r="C306" s="251" t="s">
        <v>430</v>
      </c>
      <c r="D306" s="251" t="s">
        <v>149</v>
      </c>
      <c r="E306" s="252" t="s">
        <v>641</v>
      </c>
      <c r="F306" s="270" t="s">
        <v>290</v>
      </c>
      <c r="G306" s="267">
        <v>7</v>
      </c>
      <c r="H306" s="420">
        <v>3</v>
      </c>
      <c r="I306" s="259"/>
      <c r="J306" s="259">
        <v>3</v>
      </c>
      <c r="K306" s="259"/>
      <c r="L306" s="259">
        <v>1</v>
      </c>
      <c r="M306" s="260">
        <f t="shared" si="113"/>
        <v>4</v>
      </c>
      <c r="N306" s="255">
        <v>27000</v>
      </c>
      <c r="O306" s="255">
        <v>27000</v>
      </c>
      <c r="P306" s="255">
        <v>27000</v>
      </c>
      <c r="Q306" s="255">
        <v>27000</v>
      </c>
      <c r="R306" s="262">
        <f>SUMPRODUCT(I306:L306,N306:Q306)</f>
        <v>108000</v>
      </c>
      <c r="S306" s="269">
        <f t="shared" si="134"/>
        <v>0</v>
      </c>
      <c r="T306" s="269">
        <f t="shared" si="135"/>
        <v>81000</v>
      </c>
      <c r="U306" s="269">
        <f t="shared" si="136"/>
        <v>0</v>
      </c>
      <c r="V306" s="269">
        <f t="shared" si="137"/>
        <v>27000</v>
      </c>
      <c r="W306" s="262">
        <f t="shared" si="115"/>
        <v>108000</v>
      </c>
      <c r="X306" s="213"/>
      <c r="Y306" s="367"/>
      <c r="Z306" s="31">
        <v>179</v>
      </c>
    </row>
    <row r="307" spans="1:26" ht="12.75" hidden="1" outlineLevel="2" x14ac:dyDescent="0.2">
      <c r="A307" s="251" t="s">
        <v>1</v>
      </c>
      <c r="B307" s="251" t="s">
        <v>436</v>
      </c>
      <c r="C307" s="251"/>
      <c r="D307" s="251" t="s">
        <v>434</v>
      </c>
      <c r="E307" s="252" t="s">
        <v>641</v>
      </c>
      <c r="F307" s="270" t="s">
        <v>290</v>
      </c>
      <c r="G307" s="267">
        <v>7</v>
      </c>
      <c r="H307" s="421">
        <v>4</v>
      </c>
      <c r="I307" s="259">
        <v>8</v>
      </c>
      <c r="J307" s="259">
        <v>24</v>
      </c>
      <c r="K307" s="259">
        <v>21</v>
      </c>
      <c r="L307" s="259">
        <v>15</v>
      </c>
      <c r="M307" s="260">
        <f t="shared" si="113"/>
        <v>68</v>
      </c>
      <c r="N307" s="255">
        <v>30500</v>
      </c>
      <c r="O307" s="255">
        <v>30500</v>
      </c>
      <c r="P307" s="255">
        <v>30500</v>
      </c>
      <c r="Q307" s="255">
        <v>30500</v>
      </c>
      <c r="R307" s="262">
        <f>SUMPRODUCT(I307:L307,N307:Q307)</f>
        <v>2074000</v>
      </c>
      <c r="S307" s="269">
        <f t="shared" si="134"/>
        <v>244000</v>
      </c>
      <c r="T307" s="269">
        <f t="shared" si="135"/>
        <v>732000</v>
      </c>
      <c r="U307" s="269">
        <f t="shared" si="136"/>
        <v>640500</v>
      </c>
      <c r="V307" s="269">
        <f t="shared" si="137"/>
        <v>457500</v>
      </c>
      <c r="W307" s="262">
        <f>SUM(S307:V307)</f>
        <v>2074000</v>
      </c>
      <c r="X307" s="55"/>
      <c r="Y307" s="213"/>
    </row>
    <row r="308" spans="1:26" ht="11.25" outlineLevel="1" collapsed="1" x14ac:dyDescent="0.2">
      <c r="D308" s="343" t="s">
        <v>647</v>
      </c>
      <c r="F308" s="233"/>
      <c r="G308" s="238" t="s">
        <v>178</v>
      </c>
      <c r="I308" s="31">
        <f>SUBTOTAL(9,I303:I307)</f>
        <v>13</v>
      </c>
      <c r="J308" s="31">
        <f>SUBTOTAL(9,J303:J307)</f>
        <v>31</v>
      </c>
      <c r="K308" s="31">
        <f>SUBTOTAL(9,K303:K307)</f>
        <v>24</v>
      </c>
      <c r="L308" s="31">
        <f>SUBTOTAL(9,L303:L307)</f>
        <v>27</v>
      </c>
      <c r="M308" s="214">
        <f>SUBTOTAL(9,M303:M307)</f>
        <v>95</v>
      </c>
      <c r="R308" s="57">
        <f t="shared" ref="R308:W308" si="139">SUBTOTAL(9,R303:R307)</f>
        <v>2891500</v>
      </c>
      <c r="S308" s="414">
        <f t="shared" si="139"/>
        <v>396500</v>
      </c>
      <c r="T308" s="414">
        <f t="shared" si="139"/>
        <v>939000</v>
      </c>
      <c r="U308" s="414">
        <f t="shared" si="139"/>
        <v>732000</v>
      </c>
      <c r="V308" s="414">
        <f t="shared" si="139"/>
        <v>824000</v>
      </c>
      <c r="W308" s="57">
        <f t="shared" si="139"/>
        <v>2891500</v>
      </c>
      <c r="X308" s="55" t="s">
        <v>727</v>
      </c>
      <c r="Y308" s="367"/>
      <c r="Z308" s="31">
        <v>181</v>
      </c>
    </row>
    <row r="309" spans="1:26" outlineLevel="1" x14ac:dyDescent="0.15">
      <c r="F309" s="233"/>
      <c r="G309" s="238"/>
      <c r="J309" s="31"/>
      <c r="K309" s="31"/>
      <c r="L309" s="31"/>
      <c r="M309" s="344"/>
      <c r="S309" s="414"/>
      <c r="T309" s="414"/>
      <c r="U309" s="414"/>
      <c r="V309" s="414"/>
      <c r="W309" s="57"/>
      <c r="X309" s="55"/>
      <c r="Y309" s="367"/>
    </row>
    <row r="310" spans="1:26" ht="12.75" hidden="1" outlineLevel="2" x14ac:dyDescent="0.2">
      <c r="A310" s="251" t="s">
        <v>375</v>
      </c>
      <c r="B310" s="251" t="s">
        <v>376</v>
      </c>
      <c r="C310" s="251" t="s">
        <v>292</v>
      </c>
      <c r="D310" s="251" t="s">
        <v>437</v>
      </c>
      <c r="E310" s="252" t="s">
        <v>291</v>
      </c>
      <c r="F310" s="253" t="s">
        <v>108</v>
      </c>
      <c r="G310" s="270">
        <v>8</v>
      </c>
      <c r="H310" s="421">
        <v>1</v>
      </c>
      <c r="I310" s="422">
        <v>8</v>
      </c>
      <c r="J310" s="422">
        <v>9</v>
      </c>
      <c r="K310" s="422">
        <v>5</v>
      </c>
      <c r="L310" s="422">
        <v>6</v>
      </c>
      <c r="M310" s="260">
        <f t="shared" si="113"/>
        <v>28</v>
      </c>
      <c r="N310" s="255">
        <v>5990</v>
      </c>
      <c r="O310" s="255">
        <v>5990</v>
      </c>
      <c r="P310" s="255">
        <v>5990</v>
      </c>
      <c r="Q310" s="255">
        <v>5990</v>
      </c>
      <c r="R310" s="262">
        <f t="shared" ref="R310:R322" si="140">SUMPRODUCT(I310:L310,N310:Q310)</f>
        <v>167720</v>
      </c>
      <c r="S310" s="269">
        <f t="shared" ref="S310:S322" si="141">IF(N310&gt;prisgrense,I310*prisgrense,I310*N310)</f>
        <v>36352</v>
      </c>
      <c r="T310" s="269">
        <f t="shared" ref="T310:T322" si="142">IF(O310&gt;prisgrense,J310*prisgrense,J310*O310)</f>
        <v>40896</v>
      </c>
      <c r="U310" s="269">
        <f t="shared" ref="U310:U322" si="143">IF(P310&gt;prisgrense,K310*prisgrense,K310*P310)</f>
        <v>22720</v>
      </c>
      <c r="V310" s="269">
        <f t="shared" ref="V310:V322" si="144">IF(Q310&gt;prisgrense,L310*prisgrense,L310*Q310)</f>
        <v>27264</v>
      </c>
      <c r="W310" s="262">
        <f t="shared" si="115"/>
        <v>127232</v>
      </c>
      <c r="X310" s="55" t="s">
        <v>582</v>
      </c>
      <c r="Y310" s="224"/>
      <c r="Z310" s="31">
        <v>182</v>
      </c>
    </row>
    <row r="311" spans="1:26" ht="12.75" hidden="1" outlineLevel="2" x14ac:dyDescent="0.2">
      <c r="A311" s="251" t="s">
        <v>375</v>
      </c>
      <c r="B311" s="251" t="s">
        <v>376</v>
      </c>
      <c r="C311" s="251" t="s">
        <v>612</v>
      </c>
      <c r="D311" s="251" t="s">
        <v>629</v>
      </c>
      <c r="E311" s="252" t="s">
        <v>291</v>
      </c>
      <c r="F311" s="253" t="s">
        <v>108</v>
      </c>
      <c r="G311" s="270">
        <v>8</v>
      </c>
      <c r="H311" s="421">
        <v>1</v>
      </c>
      <c r="I311" s="422"/>
      <c r="J311" s="422"/>
      <c r="K311" s="422">
        <v>1</v>
      </c>
      <c r="L311" s="422">
        <v>14</v>
      </c>
      <c r="M311" s="260">
        <f t="shared" ref="M311" si="145">SUM(I311:L311)</f>
        <v>15</v>
      </c>
      <c r="N311" s="255"/>
      <c r="O311" s="255"/>
      <c r="P311" s="255">
        <v>6061</v>
      </c>
      <c r="Q311" s="255">
        <v>5990</v>
      </c>
      <c r="R311" s="262">
        <f t="shared" ref="R311" si="146">SUMPRODUCT(I311:L311,N311:Q311)</f>
        <v>89921</v>
      </c>
      <c r="S311" s="269">
        <f t="shared" ref="S311" si="147">IF(N311&gt;prisgrense,I311*prisgrense,I311*N311)</f>
        <v>0</v>
      </c>
      <c r="T311" s="269">
        <f t="shared" ref="T311" si="148">IF(O311&gt;prisgrense,J311*prisgrense,J311*O311)</f>
        <v>0</v>
      </c>
      <c r="U311" s="269">
        <f t="shared" ref="U311" si="149">IF(P311&gt;prisgrense,K311*prisgrense,K311*P311)</f>
        <v>4544</v>
      </c>
      <c r="V311" s="269">
        <f t="shared" ref="V311" si="150">IF(Q311&gt;prisgrense,L311*prisgrense,L311*Q311)</f>
        <v>63616</v>
      </c>
      <c r="W311" s="262">
        <f t="shared" ref="W311" si="151">SUM(S311:V311)</f>
        <v>68160</v>
      </c>
      <c r="X311" s="55" t="s">
        <v>583</v>
      </c>
      <c r="Y311" s="224"/>
    </row>
    <row r="312" spans="1:26" ht="12.75" hidden="1" outlineLevel="2" x14ac:dyDescent="0.2">
      <c r="A312" s="251" t="s">
        <v>375</v>
      </c>
      <c r="B312" s="251" t="s">
        <v>376</v>
      </c>
      <c r="C312" s="251" t="s">
        <v>292</v>
      </c>
      <c r="D312" s="251" t="s">
        <v>438</v>
      </c>
      <c r="E312" s="252" t="s">
        <v>16</v>
      </c>
      <c r="F312" s="253" t="s">
        <v>108</v>
      </c>
      <c r="G312" s="270">
        <v>8</v>
      </c>
      <c r="H312" s="421">
        <v>1</v>
      </c>
      <c r="I312" s="422">
        <v>37</v>
      </c>
      <c r="J312" s="422">
        <v>47</v>
      </c>
      <c r="K312" s="422">
        <v>31</v>
      </c>
      <c r="L312" s="422">
        <v>33</v>
      </c>
      <c r="M312" s="260">
        <f t="shared" ref="M312:M322" si="152">SUM(I312:L312)</f>
        <v>148</v>
      </c>
      <c r="N312" s="255">
        <v>5990</v>
      </c>
      <c r="O312" s="255">
        <v>5990</v>
      </c>
      <c r="P312" s="255">
        <v>5990</v>
      </c>
      <c r="Q312" s="255">
        <v>5990</v>
      </c>
      <c r="R312" s="262">
        <f t="shared" si="140"/>
        <v>886520</v>
      </c>
      <c r="S312" s="269">
        <f t="shared" si="141"/>
        <v>168128</v>
      </c>
      <c r="T312" s="269">
        <f t="shared" si="142"/>
        <v>213568</v>
      </c>
      <c r="U312" s="269">
        <f t="shared" si="143"/>
        <v>140864</v>
      </c>
      <c r="V312" s="269">
        <f t="shared" si="144"/>
        <v>149952</v>
      </c>
      <c r="W312" s="262">
        <f t="shared" ref="W312:W322" si="153">SUM(S312:V312)</f>
        <v>672512</v>
      </c>
      <c r="X312" s="55" t="s">
        <v>582</v>
      </c>
      <c r="Y312" s="224"/>
      <c r="Z312" s="31">
        <v>182</v>
      </c>
    </row>
    <row r="313" spans="1:26" ht="12.75" hidden="1" outlineLevel="2" x14ac:dyDescent="0.2">
      <c r="A313" s="251" t="s">
        <v>375</v>
      </c>
      <c r="B313" s="251" t="s">
        <v>376</v>
      </c>
      <c r="C313" s="251" t="s">
        <v>612</v>
      </c>
      <c r="D313" s="251" t="s">
        <v>630</v>
      </c>
      <c r="E313" s="252" t="s">
        <v>16</v>
      </c>
      <c r="F313" s="253" t="s">
        <v>108</v>
      </c>
      <c r="G313" s="270">
        <v>8</v>
      </c>
      <c r="H313" s="421">
        <v>1</v>
      </c>
      <c r="I313" s="422"/>
      <c r="J313" s="422"/>
      <c r="K313" s="422">
        <v>10</v>
      </c>
      <c r="L313" s="422">
        <v>30</v>
      </c>
      <c r="M313" s="260">
        <f t="shared" ref="M313" si="154">SUM(I313:L313)</f>
        <v>40</v>
      </c>
      <c r="N313" s="255"/>
      <c r="O313" s="255"/>
      <c r="P313" s="255">
        <v>6061</v>
      </c>
      <c r="Q313" s="255">
        <v>5990</v>
      </c>
      <c r="R313" s="262">
        <f t="shared" ref="R313" si="155">SUMPRODUCT(I313:L313,N313:Q313)</f>
        <v>240310</v>
      </c>
      <c r="S313" s="269">
        <f t="shared" ref="S313" si="156">IF(N313&gt;prisgrense,I313*prisgrense,I313*N313)</f>
        <v>0</v>
      </c>
      <c r="T313" s="269">
        <f t="shared" ref="T313" si="157">IF(O313&gt;prisgrense,J313*prisgrense,J313*O313)</f>
        <v>0</v>
      </c>
      <c r="U313" s="269">
        <f t="shared" ref="U313" si="158">IF(P313&gt;prisgrense,K313*prisgrense,K313*P313)</f>
        <v>45440</v>
      </c>
      <c r="V313" s="269">
        <f t="shared" ref="V313" si="159">IF(Q313&gt;prisgrense,L313*prisgrense,L313*Q313)</f>
        <v>136320</v>
      </c>
      <c r="W313" s="262">
        <f t="shared" ref="W313" si="160">SUM(S313:V313)</f>
        <v>181760</v>
      </c>
      <c r="X313" s="55" t="s">
        <v>583</v>
      </c>
      <c r="Y313" s="224"/>
    </row>
    <row r="314" spans="1:26" ht="12.75" hidden="1" outlineLevel="2" x14ac:dyDescent="0.2">
      <c r="A314" s="251" t="s">
        <v>375</v>
      </c>
      <c r="B314" s="251" t="s">
        <v>376</v>
      </c>
      <c r="C314" s="251" t="s">
        <v>439</v>
      </c>
      <c r="D314" s="251" t="s">
        <v>440</v>
      </c>
      <c r="E314" s="252" t="s">
        <v>16</v>
      </c>
      <c r="F314" s="253" t="s">
        <v>106</v>
      </c>
      <c r="G314" s="270">
        <v>8</v>
      </c>
      <c r="H314" s="420">
        <v>1</v>
      </c>
      <c r="I314" s="422">
        <v>1</v>
      </c>
      <c r="J314" s="422">
        <v>4</v>
      </c>
      <c r="K314" s="422">
        <v>1</v>
      </c>
      <c r="L314" s="422">
        <v>2</v>
      </c>
      <c r="M314" s="260">
        <f t="shared" si="152"/>
        <v>8</v>
      </c>
      <c r="N314" s="255">
        <v>5990</v>
      </c>
      <c r="O314" s="255">
        <v>5990</v>
      </c>
      <c r="P314" s="255">
        <v>5990</v>
      </c>
      <c r="Q314" s="255">
        <v>5990</v>
      </c>
      <c r="R314" s="262">
        <f t="shared" si="140"/>
        <v>47920</v>
      </c>
      <c r="S314" s="269">
        <f t="shared" si="141"/>
        <v>4544</v>
      </c>
      <c r="T314" s="269">
        <f t="shared" si="142"/>
        <v>18176</v>
      </c>
      <c r="U314" s="269">
        <f t="shared" si="143"/>
        <v>4544</v>
      </c>
      <c r="V314" s="269">
        <f t="shared" si="144"/>
        <v>9088</v>
      </c>
      <c r="W314" s="262">
        <f t="shared" si="153"/>
        <v>36352</v>
      </c>
      <c r="X314" s="55"/>
      <c r="Y314" s="224"/>
      <c r="Z314" s="31">
        <v>182</v>
      </c>
    </row>
    <row r="315" spans="1:26" ht="12.75" hidden="1" outlineLevel="2" x14ac:dyDescent="0.2">
      <c r="A315" s="251" t="s">
        <v>375</v>
      </c>
      <c r="B315" s="251" t="s">
        <v>376</v>
      </c>
      <c r="C315" s="251" t="s">
        <v>292</v>
      </c>
      <c r="D315" s="251" t="s">
        <v>441</v>
      </c>
      <c r="E315" s="252" t="s">
        <v>16</v>
      </c>
      <c r="F315" s="253" t="s">
        <v>108</v>
      </c>
      <c r="G315" s="270">
        <v>8</v>
      </c>
      <c r="H315" s="421">
        <v>2</v>
      </c>
      <c r="I315" s="422">
        <v>27</v>
      </c>
      <c r="J315" s="422">
        <v>31</v>
      </c>
      <c r="K315" s="422">
        <v>15</v>
      </c>
      <c r="L315" s="422">
        <v>14</v>
      </c>
      <c r="M315" s="260">
        <f t="shared" si="152"/>
        <v>87</v>
      </c>
      <c r="N315" s="255">
        <v>5990</v>
      </c>
      <c r="O315" s="255">
        <v>5990</v>
      </c>
      <c r="P315" s="255">
        <v>5990</v>
      </c>
      <c r="Q315" s="255">
        <v>5990</v>
      </c>
      <c r="R315" s="262">
        <f t="shared" si="140"/>
        <v>521130</v>
      </c>
      <c r="S315" s="269">
        <f t="shared" si="141"/>
        <v>122688</v>
      </c>
      <c r="T315" s="269">
        <f t="shared" si="142"/>
        <v>140864</v>
      </c>
      <c r="U315" s="269">
        <f t="shared" si="143"/>
        <v>68160</v>
      </c>
      <c r="V315" s="269">
        <f t="shared" si="144"/>
        <v>63616</v>
      </c>
      <c r="W315" s="262">
        <f t="shared" si="153"/>
        <v>395328</v>
      </c>
      <c r="X315" s="55" t="s">
        <v>582</v>
      </c>
      <c r="Y315" s="224"/>
      <c r="Z315" s="31">
        <v>182</v>
      </c>
    </row>
    <row r="316" spans="1:26" ht="12.75" hidden="1" outlineLevel="2" x14ac:dyDescent="0.2">
      <c r="A316" s="251" t="s">
        <v>375</v>
      </c>
      <c r="B316" s="251" t="s">
        <v>376</v>
      </c>
      <c r="C316" s="251" t="s">
        <v>612</v>
      </c>
      <c r="D316" s="251" t="s">
        <v>631</v>
      </c>
      <c r="E316" s="252" t="s">
        <v>16</v>
      </c>
      <c r="F316" s="253" t="s">
        <v>108</v>
      </c>
      <c r="G316" s="270">
        <v>8</v>
      </c>
      <c r="H316" s="421">
        <v>2</v>
      </c>
      <c r="I316" s="422"/>
      <c r="J316" s="422"/>
      <c r="K316" s="422">
        <v>5</v>
      </c>
      <c r="L316" s="422">
        <v>17</v>
      </c>
      <c r="M316" s="260">
        <f t="shared" ref="M316" si="161">SUM(I316:L316)</f>
        <v>22</v>
      </c>
      <c r="N316" s="255"/>
      <c r="O316" s="255"/>
      <c r="P316" s="255">
        <v>6061</v>
      </c>
      <c r="Q316" s="255">
        <v>5990</v>
      </c>
      <c r="R316" s="262">
        <f t="shared" ref="R316" si="162">SUMPRODUCT(I316:L316,N316:Q316)</f>
        <v>132135</v>
      </c>
      <c r="S316" s="269">
        <f t="shared" ref="S316" si="163">IF(N316&gt;prisgrense,I316*prisgrense,I316*N316)</f>
        <v>0</v>
      </c>
      <c r="T316" s="269">
        <f t="shared" ref="T316" si="164">IF(O316&gt;prisgrense,J316*prisgrense,J316*O316)</f>
        <v>0</v>
      </c>
      <c r="U316" s="269">
        <f t="shared" ref="U316" si="165">IF(P316&gt;prisgrense,K316*prisgrense,K316*P316)</f>
        <v>22720</v>
      </c>
      <c r="V316" s="269">
        <f t="shared" ref="V316" si="166">IF(Q316&gt;prisgrense,L316*prisgrense,L316*Q316)</f>
        <v>77248</v>
      </c>
      <c r="W316" s="262">
        <f t="shared" ref="W316" si="167">SUM(S316:V316)</f>
        <v>99968</v>
      </c>
      <c r="X316" s="55" t="s">
        <v>583</v>
      </c>
      <c r="Y316" s="224"/>
    </row>
    <row r="317" spans="1:26" ht="12.75" hidden="1" outlineLevel="2" x14ac:dyDescent="0.2">
      <c r="A317" s="251" t="s">
        <v>375</v>
      </c>
      <c r="B317" s="251" t="s">
        <v>376</v>
      </c>
      <c r="C317" s="251" t="s">
        <v>439</v>
      </c>
      <c r="D317" s="251" t="s">
        <v>442</v>
      </c>
      <c r="E317" s="252" t="s">
        <v>291</v>
      </c>
      <c r="F317" s="253" t="s">
        <v>108</v>
      </c>
      <c r="G317" s="270">
        <v>8</v>
      </c>
      <c r="H317" s="420">
        <v>3</v>
      </c>
      <c r="I317" s="422">
        <v>2</v>
      </c>
      <c r="J317" s="422">
        <v>4</v>
      </c>
      <c r="K317" s="422">
        <v>2</v>
      </c>
      <c r="L317" s="422">
        <v>0</v>
      </c>
      <c r="M317" s="260">
        <f t="shared" si="152"/>
        <v>8</v>
      </c>
      <c r="N317" s="255">
        <v>5990</v>
      </c>
      <c r="O317" s="255">
        <v>5990</v>
      </c>
      <c r="P317" s="255">
        <v>5990</v>
      </c>
      <c r="Q317" s="255">
        <v>5990</v>
      </c>
      <c r="R317" s="262">
        <f t="shared" si="140"/>
        <v>47920</v>
      </c>
      <c r="S317" s="269">
        <f t="shared" si="141"/>
        <v>9088</v>
      </c>
      <c r="T317" s="269">
        <f t="shared" si="142"/>
        <v>18176</v>
      </c>
      <c r="U317" s="269">
        <f t="shared" si="143"/>
        <v>9088</v>
      </c>
      <c r="V317" s="269">
        <f t="shared" si="144"/>
        <v>0</v>
      </c>
      <c r="W317" s="262">
        <f t="shared" si="153"/>
        <v>36352</v>
      </c>
      <c r="X317" s="55"/>
      <c r="Y317" s="224"/>
      <c r="Z317" s="31">
        <v>182</v>
      </c>
    </row>
    <row r="318" spans="1:26" ht="12.75" hidden="1" outlineLevel="2" x14ac:dyDescent="0.2">
      <c r="A318" s="251" t="s">
        <v>375</v>
      </c>
      <c r="B318" s="251" t="s">
        <v>376</v>
      </c>
      <c r="C318" s="251" t="s">
        <v>439</v>
      </c>
      <c r="D318" s="251" t="s">
        <v>443</v>
      </c>
      <c r="E318" s="252" t="s">
        <v>291</v>
      </c>
      <c r="F318" s="253" t="s">
        <v>108</v>
      </c>
      <c r="G318" s="270">
        <v>8</v>
      </c>
      <c r="H318" s="420">
        <v>4</v>
      </c>
      <c r="I318" s="422">
        <v>3</v>
      </c>
      <c r="J318" s="422">
        <v>4</v>
      </c>
      <c r="K318" s="422">
        <v>1</v>
      </c>
      <c r="L318" s="422">
        <v>0</v>
      </c>
      <c r="M318" s="260">
        <f t="shared" si="152"/>
        <v>8</v>
      </c>
      <c r="N318" s="255">
        <v>5990</v>
      </c>
      <c r="O318" s="255">
        <v>5990</v>
      </c>
      <c r="P318" s="255">
        <v>5990</v>
      </c>
      <c r="Q318" s="255">
        <v>5990</v>
      </c>
      <c r="R318" s="262">
        <f t="shared" si="140"/>
        <v>47920</v>
      </c>
      <c r="S318" s="269">
        <f t="shared" si="141"/>
        <v>13632</v>
      </c>
      <c r="T318" s="269">
        <f t="shared" si="142"/>
        <v>18176</v>
      </c>
      <c r="U318" s="269">
        <f t="shared" si="143"/>
        <v>4544</v>
      </c>
      <c r="V318" s="269">
        <f t="shared" si="144"/>
        <v>0</v>
      </c>
      <c r="W318" s="262">
        <f t="shared" si="153"/>
        <v>36352</v>
      </c>
      <c r="X318" s="55"/>
      <c r="Y318" s="224"/>
      <c r="Z318" s="31">
        <v>182</v>
      </c>
    </row>
    <row r="319" spans="1:26" ht="12.75" hidden="1" outlineLevel="2" x14ac:dyDescent="0.2">
      <c r="A319" s="251" t="s">
        <v>375</v>
      </c>
      <c r="B319" s="251" t="s">
        <v>376</v>
      </c>
      <c r="C319" s="251" t="s">
        <v>292</v>
      </c>
      <c r="D319" s="251" t="s">
        <v>444</v>
      </c>
      <c r="E319" s="252" t="s">
        <v>17</v>
      </c>
      <c r="F319" s="253" t="s">
        <v>290</v>
      </c>
      <c r="G319" s="270">
        <v>8</v>
      </c>
      <c r="H319" s="420">
        <v>5</v>
      </c>
      <c r="I319" s="422">
        <v>6</v>
      </c>
      <c r="J319" s="422">
        <v>8</v>
      </c>
      <c r="K319" s="422">
        <v>12</v>
      </c>
      <c r="L319" s="422">
        <v>3</v>
      </c>
      <c r="M319" s="260">
        <f t="shared" si="152"/>
        <v>29</v>
      </c>
      <c r="N319" s="255">
        <v>5990</v>
      </c>
      <c r="O319" s="255">
        <v>5990</v>
      </c>
      <c r="P319" s="255">
        <v>5990</v>
      </c>
      <c r="Q319" s="255">
        <v>5990</v>
      </c>
      <c r="R319" s="262">
        <f t="shared" si="140"/>
        <v>173710</v>
      </c>
      <c r="S319" s="269">
        <f t="shared" si="141"/>
        <v>27264</v>
      </c>
      <c r="T319" s="269">
        <f t="shared" si="142"/>
        <v>36352</v>
      </c>
      <c r="U319" s="269">
        <f t="shared" si="143"/>
        <v>54528</v>
      </c>
      <c r="V319" s="269">
        <f t="shared" si="144"/>
        <v>13632</v>
      </c>
      <c r="W319" s="262">
        <f t="shared" si="153"/>
        <v>131776</v>
      </c>
      <c r="X319" s="55" t="s">
        <v>582</v>
      </c>
      <c r="Y319" s="224"/>
      <c r="Z319" s="31">
        <v>182</v>
      </c>
    </row>
    <row r="320" spans="1:26" ht="12.75" hidden="1" outlineLevel="2" x14ac:dyDescent="0.2">
      <c r="A320" s="251" t="s">
        <v>375</v>
      </c>
      <c r="B320" s="251" t="s">
        <v>376</v>
      </c>
      <c r="C320" s="251" t="s">
        <v>612</v>
      </c>
      <c r="D320" s="251" t="s">
        <v>632</v>
      </c>
      <c r="E320" s="252" t="s">
        <v>17</v>
      </c>
      <c r="F320" s="253" t="s">
        <v>290</v>
      </c>
      <c r="G320" s="270">
        <v>8</v>
      </c>
      <c r="H320" s="420">
        <v>5</v>
      </c>
      <c r="I320" s="422"/>
      <c r="J320" s="422"/>
      <c r="K320" s="422">
        <v>0</v>
      </c>
      <c r="L320" s="422">
        <v>3</v>
      </c>
      <c r="M320" s="260">
        <f t="shared" ref="M320" si="168">SUM(I320:L320)</f>
        <v>3</v>
      </c>
      <c r="N320" s="255"/>
      <c r="O320" s="255"/>
      <c r="P320" s="255">
        <v>6061</v>
      </c>
      <c r="Q320" s="255">
        <v>5990</v>
      </c>
      <c r="R320" s="262">
        <f t="shared" ref="R320" si="169">SUMPRODUCT(I320:L320,N320:Q320)</f>
        <v>17970</v>
      </c>
      <c r="S320" s="269">
        <f t="shared" ref="S320" si="170">IF(N320&gt;prisgrense,I320*prisgrense,I320*N320)</f>
        <v>0</v>
      </c>
      <c r="T320" s="269">
        <f t="shared" ref="T320" si="171">IF(O320&gt;prisgrense,J320*prisgrense,J320*O320)</f>
        <v>0</v>
      </c>
      <c r="U320" s="269">
        <f t="shared" ref="U320" si="172">IF(P320&gt;prisgrense,K320*prisgrense,K320*P320)</f>
        <v>0</v>
      </c>
      <c r="V320" s="269">
        <f t="shared" ref="V320" si="173">IF(Q320&gt;prisgrense,L320*prisgrense,L320*Q320)</f>
        <v>13632</v>
      </c>
      <c r="W320" s="262">
        <f t="shared" ref="W320" si="174">SUM(S320:V320)</f>
        <v>13632</v>
      </c>
      <c r="X320" s="55" t="s">
        <v>583</v>
      </c>
      <c r="Y320" s="224"/>
    </row>
    <row r="321" spans="1:26" ht="12.75" hidden="1" outlineLevel="2" x14ac:dyDescent="0.2">
      <c r="A321" s="251" t="s">
        <v>380</v>
      </c>
      <c r="B321" s="251" t="s">
        <v>381</v>
      </c>
      <c r="C321" s="251" t="s">
        <v>445</v>
      </c>
      <c r="D321" s="251" t="s">
        <v>446</v>
      </c>
      <c r="E321" s="252" t="s">
        <v>16</v>
      </c>
      <c r="F321" s="253" t="s">
        <v>108</v>
      </c>
      <c r="G321" s="270">
        <v>8</v>
      </c>
      <c r="H321" s="420">
        <v>6</v>
      </c>
      <c r="I321" s="422">
        <v>0</v>
      </c>
      <c r="J321" s="422">
        <v>1</v>
      </c>
      <c r="K321" s="259">
        <v>0</v>
      </c>
      <c r="L321" s="422">
        <v>0</v>
      </c>
      <c r="M321" s="260">
        <f t="shared" si="152"/>
        <v>1</v>
      </c>
      <c r="N321" s="255">
        <v>5590</v>
      </c>
      <c r="O321" s="255">
        <v>5590</v>
      </c>
      <c r="P321" s="255">
        <v>5590</v>
      </c>
      <c r="Q321" s="255">
        <v>5590</v>
      </c>
      <c r="R321" s="262">
        <f t="shared" si="140"/>
        <v>5590</v>
      </c>
      <c r="S321" s="269">
        <f t="shared" si="141"/>
        <v>0</v>
      </c>
      <c r="T321" s="269">
        <f t="shared" si="142"/>
        <v>4544</v>
      </c>
      <c r="U321" s="269">
        <f t="shared" si="143"/>
        <v>0</v>
      </c>
      <c r="V321" s="269">
        <f t="shared" si="144"/>
        <v>0</v>
      </c>
      <c r="W321" s="262">
        <f t="shared" si="153"/>
        <v>4544</v>
      </c>
      <c r="X321" s="55"/>
      <c r="Y321" s="224"/>
      <c r="Z321" s="31">
        <v>182</v>
      </c>
    </row>
    <row r="322" spans="1:26" ht="12.75" hidden="1" outlineLevel="2" x14ac:dyDescent="0.2">
      <c r="A322" s="251" t="s">
        <v>380</v>
      </c>
      <c r="B322" s="251" t="s">
        <v>381</v>
      </c>
      <c r="C322" s="251" t="s">
        <v>445</v>
      </c>
      <c r="D322" s="251" t="s">
        <v>447</v>
      </c>
      <c r="E322" s="252" t="s">
        <v>16</v>
      </c>
      <c r="F322" s="253" t="s">
        <v>108</v>
      </c>
      <c r="G322" s="270">
        <v>8</v>
      </c>
      <c r="H322" s="420">
        <v>7</v>
      </c>
      <c r="I322" s="422">
        <v>0</v>
      </c>
      <c r="J322" s="422">
        <v>0</v>
      </c>
      <c r="K322" s="259">
        <v>0</v>
      </c>
      <c r="L322" s="422">
        <v>0</v>
      </c>
      <c r="M322" s="260">
        <f t="shared" si="152"/>
        <v>0</v>
      </c>
      <c r="N322" s="255">
        <v>5590</v>
      </c>
      <c r="O322" s="255">
        <v>5590</v>
      </c>
      <c r="P322" s="255">
        <v>5590</v>
      </c>
      <c r="Q322" s="255">
        <v>5590</v>
      </c>
      <c r="R322" s="262">
        <f t="shared" si="140"/>
        <v>0</v>
      </c>
      <c r="S322" s="269">
        <f t="shared" si="141"/>
        <v>0</v>
      </c>
      <c r="T322" s="269">
        <f t="shared" si="142"/>
        <v>0</v>
      </c>
      <c r="U322" s="269">
        <f t="shared" si="143"/>
        <v>0</v>
      </c>
      <c r="V322" s="269">
        <f t="shared" si="144"/>
        <v>0</v>
      </c>
      <c r="W322" s="262">
        <f t="shared" si="153"/>
        <v>0</v>
      </c>
      <c r="X322" s="55"/>
      <c r="Y322" s="224"/>
      <c r="Z322" s="31">
        <v>182</v>
      </c>
    </row>
    <row r="323" spans="1:26" ht="11.25" outlineLevel="1" collapsed="1" x14ac:dyDescent="0.2">
      <c r="D323" s="343" t="s">
        <v>648</v>
      </c>
      <c r="G323" s="419" t="s">
        <v>179</v>
      </c>
      <c r="H323" s="233"/>
      <c r="I323" s="423">
        <f>SUBTOTAL(9,I310:I322)</f>
        <v>84</v>
      </c>
      <c r="J323" s="423">
        <f>SUBTOTAL(9,J310:J322)</f>
        <v>108</v>
      </c>
      <c r="K323" s="423">
        <f>SUBTOTAL(9,K310:K322)</f>
        <v>83</v>
      </c>
      <c r="L323" s="423">
        <f>SUBTOTAL(9,L310:L322)</f>
        <v>122</v>
      </c>
      <c r="M323" s="214">
        <f>SUBTOTAL(9,M310:M322)</f>
        <v>397</v>
      </c>
      <c r="R323" s="57">
        <f>SUBTOTAL(9,R310:R322)</f>
        <v>2378766</v>
      </c>
      <c r="S323" s="414">
        <f>SUBTOTAL(9,S310:S322)</f>
        <v>381696</v>
      </c>
      <c r="T323" s="414">
        <f>SUBTOTAL(9,T310:T322)</f>
        <v>490752</v>
      </c>
      <c r="U323" s="414">
        <f>SUBTOTAL(9,U310:U322)</f>
        <v>377152</v>
      </c>
      <c r="V323" s="414">
        <f>SUBTOTAL(9,V310:V322)</f>
        <v>554368</v>
      </c>
      <c r="W323" s="57">
        <f>SUBTOTAL(9,W310:W322)</f>
        <v>1803968</v>
      </c>
      <c r="X323" s="55" t="s">
        <v>727</v>
      </c>
      <c r="Y323" s="224"/>
      <c r="Z323" s="31">
        <v>183</v>
      </c>
    </row>
    <row r="324" spans="1:26" outlineLevel="1" x14ac:dyDescent="0.15">
      <c r="D324" s="213"/>
      <c r="G324" s="419"/>
      <c r="H324" s="233"/>
      <c r="I324" s="423"/>
      <c r="J324" s="423"/>
      <c r="K324" s="423"/>
      <c r="L324" s="423"/>
      <c r="M324" s="344"/>
      <c r="S324" s="414"/>
      <c r="T324" s="414"/>
      <c r="U324" s="414"/>
      <c r="V324" s="414"/>
      <c r="W324" s="57"/>
      <c r="X324" s="55"/>
      <c r="Y324" s="224"/>
    </row>
    <row r="325" spans="1:26" ht="12.75" hidden="1" outlineLevel="2" x14ac:dyDescent="0.2">
      <c r="A325" s="251" t="s">
        <v>375</v>
      </c>
      <c r="B325" s="251" t="s">
        <v>376</v>
      </c>
      <c r="C325" s="251" t="s">
        <v>448</v>
      </c>
      <c r="D325" s="251" t="s">
        <v>449</v>
      </c>
      <c r="E325" s="252" t="s">
        <v>16</v>
      </c>
      <c r="F325" s="253" t="s">
        <v>106</v>
      </c>
      <c r="G325" s="267">
        <v>9</v>
      </c>
      <c r="H325" s="424">
        <v>1</v>
      </c>
      <c r="I325" s="259">
        <v>68</v>
      </c>
      <c r="J325" s="259">
        <v>96</v>
      </c>
      <c r="K325" s="259">
        <v>57</v>
      </c>
      <c r="L325" s="259">
        <v>108</v>
      </c>
      <c r="M325" s="260">
        <f t="shared" si="113"/>
        <v>329</v>
      </c>
      <c r="N325" s="255">
        <v>1490</v>
      </c>
      <c r="O325" s="255">
        <v>1490</v>
      </c>
      <c r="P325" s="255">
        <v>1508</v>
      </c>
      <c r="Q325" s="255">
        <v>1508</v>
      </c>
      <c r="R325" s="262">
        <f t="shared" ref="R325:R342" si="175">SUMPRODUCT(I325:L325,N325:Q325)</f>
        <v>493180</v>
      </c>
      <c r="S325" s="269">
        <f t="shared" ref="S325:S342" si="176">IF(N325&gt;prisgrense,I325*prisgrense,I325*N325)</f>
        <v>101320</v>
      </c>
      <c r="T325" s="269">
        <f t="shared" ref="T325:T342" si="177">IF(O325&gt;prisgrense,J325*prisgrense,J325*O325)</f>
        <v>143040</v>
      </c>
      <c r="U325" s="269">
        <f t="shared" ref="U325:U342" si="178">IF(P325&gt;prisgrense,K325*prisgrense,K325*P325)</f>
        <v>85956</v>
      </c>
      <c r="V325" s="269">
        <f t="shared" ref="V325:V342" si="179">IF(Q325&gt;prisgrense,L325*prisgrense,L325*Q325)</f>
        <v>162864</v>
      </c>
      <c r="W325" s="262">
        <f t="shared" si="115"/>
        <v>493180</v>
      </c>
      <c r="X325" s="55"/>
      <c r="Y325" s="224"/>
      <c r="Z325" s="31">
        <v>184</v>
      </c>
    </row>
    <row r="326" spans="1:26" ht="12.75" hidden="1" outlineLevel="2" x14ac:dyDescent="0.2">
      <c r="A326" s="251" t="s">
        <v>375</v>
      </c>
      <c r="B326" s="251" t="s">
        <v>376</v>
      </c>
      <c r="C326" s="251" t="s">
        <v>448</v>
      </c>
      <c r="D326" s="251" t="s">
        <v>450</v>
      </c>
      <c r="E326" s="252" t="s">
        <v>16</v>
      </c>
      <c r="F326" s="253" t="s">
        <v>106</v>
      </c>
      <c r="G326" s="267">
        <v>9</v>
      </c>
      <c r="H326" s="424">
        <v>1</v>
      </c>
      <c r="I326" s="259">
        <v>2</v>
      </c>
      <c r="J326" s="259">
        <v>2</v>
      </c>
      <c r="K326" s="259">
        <v>1</v>
      </c>
      <c r="L326" s="259">
        <v>0</v>
      </c>
      <c r="M326" s="260">
        <f t="shared" ref="M326:M338" si="180">SUM(I326:L326)</f>
        <v>5</v>
      </c>
      <c r="N326" s="255">
        <v>1490</v>
      </c>
      <c r="O326" s="255">
        <v>1490</v>
      </c>
      <c r="P326" s="255">
        <v>1508</v>
      </c>
      <c r="Q326" s="255">
        <v>1508</v>
      </c>
      <c r="R326" s="262">
        <f t="shared" si="175"/>
        <v>7468</v>
      </c>
      <c r="S326" s="269">
        <f t="shared" si="176"/>
        <v>2980</v>
      </c>
      <c r="T326" s="269">
        <f t="shared" si="177"/>
        <v>2980</v>
      </c>
      <c r="U326" s="269">
        <f t="shared" si="178"/>
        <v>1508</v>
      </c>
      <c r="V326" s="269">
        <f t="shared" si="179"/>
        <v>0</v>
      </c>
      <c r="W326" s="262">
        <f t="shared" ref="W326:W338" si="181">SUM(S326:V326)</f>
        <v>7468</v>
      </c>
      <c r="X326" s="55"/>
      <c r="Y326" s="224"/>
      <c r="Z326" s="31">
        <v>184</v>
      </c>
    </row>
    <row r="327" spans="1:26" ht="12.75" hidden="1" outlineLevel="2" x14ac:dyDescent="0.2">
      <c r="A327" s="251" t="s">
        <v>375</v>
      </c>
      <c r="B327" s="251" t="s">
        <v>376</v>
      </c>
      <c r="C327" s="251" t="s">
        <v>451</v>
      </c>
      <c r="D327" s="251" t="s">
        <v>233</v>
      </c>
      <c r="E327" s="252" t="s">
        <v>16</v>
      </c>
      <c r="F327" s="253" t="s">
        <v>108</v>
      </c>
      <c r="G327" s="267">
        <v>9</v>
      </c>
      <c r="H327" s="424">
        <v>2</v>
      </c>
      <c r="I327" s="259"/>
      <c r="J327" s="259"/>
      <c r="K327" s="259"/>
      <c r="L327" s="259"/>
      <c r="M327" s="260">
        <f t="shared" si="180"/>
        <v>0</v>
      </c>
      <c r="N327" s="255">
        <v>1990</v>
      </c>
      <c r="O327" s="255">
        <v>1990</v>
      </c>
      <c r="P327" s="255">
        <v>2014</v>
      </c>
      <c r="Q327" s="255">
        <v>2014</v>
      </c>
      <c r="R327" s="262">
        <f t="shared" si="175"/>
        <v>0</v>
      </c>
      <c r="S327" s="269">
        <f t="shared" si="176"/>
        <v>0</v>
      </c>
      <c r="T327" s="269">
        <f t="shared" si="177"/>
        <v>0</v>
      </c>
      <c r="U327" s="269">
        <f t="shared" si="178"/>
        <v>0</v>
      </c>
      <c r="V327" s="269">
        <f t="shared" si="179"/>
        <v>0</v>
      </c>
      <c r="W327" s="262">
        <f t="shared" si="181"/>
        <v>0</v>
      </c>
      <c r="X327" s="55" t="s">
        <v>635</v>
      </c>
      <c r="Y327" s="224"/>
      <c r="Z327" s="31">
        <v>184</v>
      </c>
    </row>
    <row r="328" spans="1:26" ht="12.75" hidden="1" outlineLevel="2" x14ac:dyDescent="0.2">
      <c r="A328" s="251" t="s">
        <v>375</v>
      </c>
      <c r="B328" s="251" t="s">
        <v>376</v>
      </c>
      <c r="C328" s="251" t="s">
        <v>619</v>
      </c>
      <c r="D328" s="251" t="s">
        <v>628</v>
      </c>
      <c r="E328" s="252" t="s">
        <v>16</v>
      </c>
      <c r="F328" s="253" t="s">
        <v>108</v>
      </c>
      <c r="G328" s="270">
        <v>9</v>
      </c>
      <c r="H328" s="420">
        <v>2</v>
      </c>
      <c r="I328" s="422"/>
      <c r="J328" s="422"/>
      <c r="K328" s="422"/>
      <c r="L328" s="422"/>
      <c r="M328" s="260">
        <f t="shared" ref="M328" si="182">SUM(I328:L328)</f>
        <v>0</v>
      </c>
      <c r="N328" s="255"/>
      <c r="O328" s="255"/>
      <c r="P328" s="255">
        <v>2014</v>
      </c>
      <c r="Q328" s="255">
        <v>2014</v>
      </c>
      <c r="R328" s="262">
        <f t="shared" si="175"/>
        <v>0</v>
      </c>
      <c r="S328" s="269">
        <f t="shared" si="176"/>
        <v>0</v>
      </c>
      <c r="T328" s="269">
        <f t="shared" si="177"/>
        <v>0</v>
      </c>
      <c r="U328" s="269">
        <f t="shared" si="178"/>
        <v>0</v>
      </c>
      <c r="V328" s="269">
        <f t="shared" si="179"/>
        <v>0</v>
      </c>
      <c r="W328" s="262">
        <f t="shared" ref="W328" si="183">SUM(S328:V328)</f>
        <v>0</v>
      </c>
      <c r="X328" s="55" t="s">
        <v>583</v>
      </c>
      <c r="Y328" s="224"/>
    </row>
    <row r="329" spans="1:26" ht="12.75" hidden="1" outlineLevel="2" x14ac:dyDescent="0.2">
      <c r="A329" s="251" t="s">
        <v>375</v>
      </c>
      <c r="B329" s="251" t="s">
        <v>376</v>
      </c>
      <c r="C329" s="251" t="s">
        <v>451</v>
      </c>
      <c r="D329" s="251" t="s">
        <v>452</v>
      </c>
      <c r="E329" s="252" t="s">
        <v>16</v>
      </c>
      <c r="F329" s="253" t="s">
        <v>108</v>
      </c>
      <c r="G329" s="267">
        <v>9</v>
      </c>
      <c r="H329" s="424">
        <v>2</v>
      </c>
      <c r="I329" s="259">
        <v>113</v>
      </c>
      <c r="J329" s="259">
        <v>104</v>
      </c>
      <c r="K329" s="259">
        <v>56</v>
      </c>
      <c r="L329" s="259">
        <v>24</v>
      </c>
      <c r="M329" s="260">
        <f t="shared" si="180"/>
        <v>297</v>
      </c>
      <c r="N329" s="255">
        <v>1990</v>
      </c>
      <c r="O329" s="255">
        <v>1990</v>
      </c>
      <c r="P329" s="255">
        <v>2014</v>
      </c>
      <c r="Q329" s="255">
        <v>2014</v>
      </c>
      <c r="R329" s="262">
        <f t="shared" si="175"/>
        <v>592950</v>
      </c>
      <c r="S329" s="269">
        <f t="shared" si="176"/>
        <v>224870</v>
      </c>
      <c r="T329" s="269">
        <f t="shared" si="177"/>
        <v>206960</v>
      </c>
      <c r="U329" s="269">
        <f t="shared" si="178"/>
        <v>112784</v>
      </c>
      <c r="V329" s="269">
        <f t="shared" si="179"/>
        <v>48336</v>
      </c>
      <c r="W329" s="262">
        <f t="shared" si="181"/>
        <v>592950</v>
      </c>
      <c r="X329" s="55" t="s">
        <v>582</v>
      </c>
      <c r="Y329" s="224"/>
      <c r="Z329" s="31">
        <v>184</v>
      </c>
    </row>
    <row r="330" spans="1:26" ht="12.75" hidden="1" outlineLevel="2" x14ac:dyDescent="0.2">
      <c r="A330" s="251" t="s">
        <v>375</v>
      </c>
      <c r="B330" s="251" t="s">
        <v>376</v>
      </c>
      <c r="C330" s="251" t="s">
        <v>619</v>
      </c>
      <c r="D330" s="251" t="s">
        <v>627</v>
      </c>
      <c r="E330" s="252" t="s">
        <v>16</v>
      </c>
      <c r="F330" s="253" t="s">
        <v>108</v>
      </c>
      <c r="G330" s="270">
        <v>9</v>
      </c>
      <c r="H330" s="420">
        <v>2</v>
      </c>
      <c r="I330" s="422"/>
      <c r="J330" s="422"/>
      <c r="K330" s="422"/>
      <c r="L330" s="422"/>
      <c r="M330" s="260">
        <f t="shared" ref="M330" si="184">SUM(I330:L330)</f>
        <v>0</v>
      </c>
      <c r="N330" s="255"/>
      <c r="O330" s="255"/>
      <c r="P330" s="255">
        <v>2014</v>
      </c>
      <c r="Q330" s="255">
        <v>2014</v>
      </c>
      <c r="R330" s="262">
        <f t="shared" si="175"/>
        <v>0</v>
      </c>
      <c r="S330" s="269"/>
      <c r="T330" s="269"/>
      <c r="U330" s="269"/>
      <c r="V330" s="269">
        <f t="shared" si="179"/>
        <v>0</v>
      </c>
      <c r="W330" s="262">
        <f t="shared" ref="W330" si="185">SUM(S330:V330)</f>
        <v>0</v>
      </c>
      <c r="X330" s="55" t="s">
        <v>583</v>
      </c>
      <c r="Y330" s="224"/>
    </row>
    <row r="331" spans="1:26" ht="12.75" hidden="1" outlineLevel="2" x14ac:dyDescent="0.2">
      <c r="A331" s="251" t="s">
        <v>375</v>
      </c>
      <c r="B331" s="251" t="s">
        <v>376</v>
      </c>
      <c r="C331" s="251" t="s">
        <v>451</v>
      </c>
      <c r="D331" s="251" t="s">
        <v>234</v>
      </c>
      <c r="E331" s="252" t="s">
        <v>16</v>
      </c>
      <c r="F331" s="253" t="s">
        <v>108</v>
      </c>
      <c r="G331" s="267">
        <v>9</v>
      </c>
      <c r="H331" s="424">
        <v>2</v>
      </c>
      <c r="I331" s="259"/>
      <c r="J331" s="259"/>
      <c r="K331" s="259"/>
      <c r="L331" s="259"/>
      <c r="M331" s="260">
        <f t="shared" si="180"/>
        <v>0</v>
      </c>
      <c r="N331" s="255">
        <v>1990</v>
      </c>
      <c r="O331" s="255">
        <v>1990</v>
      </c>
      <c r="P331" s="255">
        <v>2014</v>
      </c>
      <c r="Q331" s="255">
        <v>2014</v>
      </c>
      <c r="R331" s="262">
        <f t="shared" si="175"/>
        <v>0</v>
      </c>
      <c r="S331" s="269">
        <f t="shared" si="176"/>
        <v>0</v>
      </c>
      <c r="T331" s="269">
        <f t="shared" si="177"/>
        <v>0</v>
      </c>
      <c r="U331" s="269">
        <f t="shared" si="178"/>
        <v>0</v>
      </c>
      <c r="V331" s="269">
        <f t="shared" si="179"/>
        <v>0</v>
      </c>
      <c r="W331" s="262">
        <f t="shared" si="181"/>
        <v>0</v>
      </c>
      <c r="X331" s="55" t="s">
        <v>635</v>
      </c>
      <c r="Y331" s="224"/>
      <c r="Z331" s="31">
        <v>184</v>
      </c>
    </row>
    <row r="332" spans="1:26" ht="12.75" hidden="1" outlineLevel="2" x14ac:dyDescent="0.2">
      <c r="A332" s="251" t="s">
        <v>375</v>
      </c>
      <c r="B332" s="251" t="s">
        <v>376</v>
      </c>
      <c r="C332" s="251" t="s">
        <v>619</v>
      </c>
      <c r="D332" s="251" t="s">
        <v>637</v>
      </c>
      <c r="E332" s="252" t="s">
        <v>16</v>
      </c>
      <c r="F332" s="253" t="s">
        <v>106</v>
      </c>
      <c r="G332" s="270">
        <v>9</v>
      </c>
      <c r="H332" s="420">
        <v>2</v>
      </c>
      <c r="I332" s="422"/>
      <c r="J332" s="422"/>
      <c r="K332" s="422">
        <v>1</v>
      </c>
      <c r="L332" s="422">
        <v>7</v>
      </c>
      <c r="M332" s="260">
        <f t="shared" ref="M332" si="186">SUM(I332:L332)</f>
        <v>8</v>
      </c>
      <c r="N332" s="255"/>
      <c r="O332" s="255"/>
      <c r="P332" s="255">
        <v>2014</v>
      </c>
      <c r="Q332" s="255">
        <v>2014</v>
      </c>
      <c r="R332" s="262">
        <f t="shared" si="175"/>
        <v>16112</v>
      </c>
      <c r="S332" s="269">
        <f t="shared" si="176"/>
        <v>0</v>
      </c>
      <c r="T332" s="269">
        <f t="shared" si="177"/>
        <v>0</v>
      </c>
      <c r="U332" s="269">
        <f t="shared" si="178"/>
        <v>2014</v>
      </c>
      <c r="V332" s="269">
        <f t="shared" si="179"/>
        <v>14098</v>
      </c>
      <c r="W332" s="262">
        <f t="shared" ref="W332" si="187">SUM(S332:V332)</f>
        <v>16112</v>
      </c>
      <c r="X332" s="55" t="s">
        <v>583</v>
      </c>
      <c r="Y332" s="224"/>
    </row>
    <row r="333" spans="1:26" ht="12.75" hidden="1" outlineLevel="2" x14ac:dyDescent="0.2">
      <c r="A333" s="251" t="s">
        <v>375</v>
      </c>
      <c r="B333" s="251" t="s">
        <v>376</v>
      </c>
      <c r="C333" s="251" t="s">
        <v>439</v>
      </c>
      <c r="D333" s="251" t="s">
        <v>453</v>
      </c>
      <c r="E333" s="252" t="s">
        <v>291</v>
      </c>
      <c r="F333" s="253" t="s">
        <v>108</v>
      </c>
      <c r="G333" s="267">
        <v>9</v>
      </c>
      <c r="H333" s="424">
        <v>3</v>
      </c>
      <c r="I333" s="259"/>
      <c r="J333" s="259"/>
      <c r="K333" s="259"/>
      <c r="L333" s="259"/>
      <c r="M333" s="260">
        <f t="shared" si="180"/>
        <v>0</v>
      </c>
      <c r="N333" s="255">
        <v>2990</v>
      </c>
      <c r="O333" s="255">
        <v>2990</v>
      </c>
      <c r="P333" s="255">
        <v>3026</v>
      </c>
      <c r="Q333" s="255">
        <v>3026</v>
      </c>
      <c r="R333" s="262">
        <f t="shared" si="175"/>
        <v>0</v>
      </c>
      <c r="S333" s="269">
        <f t="shared" si="176"/>
        <v>0</v>
      </c>
      <c r="T333" s="269">
        <f t="shared" si="177"/>
        <v>0</v>
      </c>
      <c r="U333" s="269">
        <f t="shared" si="178"/>
        <v>0</v>
      </c>
      <c r="V333" s="269">
        <f t="shared" si="179"/>
        <v>0</v>
      </c>
      <c r="W333" s="262">
        <f t="shared" si="181"/>
        <v>0</v>
      </c>
      <c r="X333" s="55" t="s">
        <v>513</v>
      </c>
      <c r="Y333" s="224"/>
      <c r="Z333" s="31">
        <v>184</v>
      </c>
    </row>
    <row r="334" spans="1:26" ht="12.75" hidden="1" outlineLevel="2" x14ac:dyDescent="0.2">
      <c r="A334" s="251" t="s">
        <v>375</v>
      </c>
      <c r="B334" s="251" t="s">
        <v>376</v>
      </c>
      <c r="C334" s="251" t="s">
        <v>439</v>
      </c>
      <c r="D334" s="251" t="s">
        <v>454</v>
      </c>
      <c r="E334" s="252" t="s">
        <v>291</v>
      </c>
      <c r="F334" s="253" t="s">
        <v>108</v>
      </c>
      <c r="G334" s="267">
        <v>9</v>
      </c>
      <c r="H334" s="424">
        <v>3</v>
      </c>
      <c r="I334" s="259"/>
      <c r="J334" s="259"/>
      <c r="K334" s="259"/>
      <c r="L334" s="259"/>
      <c r="M334" s="260">
        <f t="shared" si="180"/>
        <v>0</v>
      </c>
      <c r="N334" s="255">
        <v>2990</v>
      </c>
      <c r="O334" s="255">
        <v>2990</v>
      </c>
      <c r="P334" s="255">
        <v>3026</v>
      </c>
      <c r="Q334" s="255">
        <v>3026</v>
      </c>
      <c r="R334" s="262">
        <f t="shared" si="175"/>
        <v>0</v>
      </c>
      <c r="S334" s="269">
        <f t="shared" si="176"/>
        <v>0</v>
      </c>
      <c r="T334" s="269">
        <f t="shared" si="177"/>
        <v>0</v>
      </c>
      <c r="U334" s="269">
        <f t="shared" si="178"/>
        <v>0</v>
      </c>
      <c r="V334" s="269">
        <f t="shared" si="179"/>
        <v>0</v>
      </c>
      <c r="W334" s="262">
        <f t="shared" si="181"/>
        <v>0</v>
      </c>
      <c r="X334" s="55" t="s">
        <v>513</v>
      </c>
      <c r="Y334" s="224"/>
      <c r="Z334" s="31">
        <v>184</v>
      </c>
    </row>
    <row r="335" spans="1:26" ht="12.75" hidden="1" outlineLevel="2" x14ac:dyDescent="0.2">
      <c r="A335" s="251" t="s">
        <v>377</v>
      </c>
      <c r="B335" s="251" t="s">
        <v>378</v>
      </c>
      <c r="C335" s="251">
        <v>500</v>
      </c>
      <c r="D335" s="251" t="s">
        <v>455</v>
      </c>
      <c r="E335" s="252" t="s">
        <v>291</v>
      </c>
      <c r="F335" s="253" t="s">
        <v>561</v>
      </c>
      <c r="G335" s="267">
        <v>9</v>
      </c>
      <c r="H335" s="424">
        <v>3</v>
      </c>
      <c r="I335" s="259">
        <v>0</v>
      </c>
      <c r="J335" s="264"/>
      <c r="K335" s="259"/>
      <c r="L335" s="259"/>
      <c r="M335" s="260">
        <f t="shared" si="180"/>
        <v>0</v>
      </c>
      <c r="N335" s="255">
        <v>3000</v>
      </c>
      <c r="O335" s="255">
        <v>3000</v>
      </c>
      <c r="P335" s="255">
        <v>3000</v>
      </c>
      <c r="Q335" s="255">
        <v>3000</v>
      </c>
      <c r="R335" s="262">
        <f t="shared" si="175"/>
        <v>0</v>
      </c>
      <c r="S335" s="269">
        <f t="shared" si="176"/>
        <v>0</v>
      </c>
      <c r="T335" s="269">
        <f t="shared" si="177"/>
        <v>0</v>
      </c>
      <c r="U335" s="269">
        <f t="shared" si="178"/>
        <v>0</v>
      </c>
      <c r="V335" s="269">
        <f t="shared" si="179"/>
        <v>0</v>
      </c>
      <c r="W335" s="262">
        <f t="shared" si="181"/>
        <v>0</v>
      </c>
      <c r="X335" s="55"/>
      <c r="Y335" s="224"/>
      <c r="Z335" s="31">
        <v>184</v>
      </c>
    </row>
    <row r="336" spans="1:26" ht="12.75" hidden="1" outlineLevel="2" x14ac:dyDescent="0.2">
      <c r="A336" s="251" t="s">
        <v>375</v>
      </c>
      <c r="B336" s="251" t="s">
        <v>376</v>
      </c>
      <c r="C336" s="251" t="s">
        <v>292</v>
      </c>
      <c r="D336" s="251" t="s">
        <v>199</v>
      </c>
      <c r="E336" s="252" t="s">
        <v>291</v>
      </c>
      <c r="F336" s="253" t="s">
        <v>108</v>
      </c>
      <c r="G336" s="267">
        <v>9</v>
      </c>
      <c r="H336" s="424">
        <v>4</v>
      </c>
      <c r="I336" s="259"/>
      <c r="J336" s="264"/>
      <c r="K336" s="259"/>
      <c r="L336" s="259"/>
      <c r="M336" s="260">
        <f t="shared" si="180"/>
        <v>0</v>
      </c>
      <c r="N336" s="255">
        <v>2990</v>
      </c>
      <c r="O336" s="255">
        <v>2990</v>
      </c>
      <c r="P336" s="255">
        <v>3026</v>
      </c>
      <c r="Q336" s="255">
        <v>3026</v>
      </c>
      <c r="R336" s="262">
        <f t="shared" si="175"/>
        <v>0</v>
      </c>
      <c r="S336" s="269">
        <f t="shared" si="176"/>
        <v>0</v>
      </c>
      <c r="T336" s="269">
        <f t="shared" si="177"/>
        <v>0</v>
      </c>
      <c r="U336" s="269">
        <f t="shared" si="178"/>
        <v>0</v>
      </c>
      <c r="V336" s="269">
        <f t="shared" si="179"/>
        <v>0</v>
      </c>
      <c r="W336" s="262">
        <f t="shared" si="181"/>
        <v>0</v>
      </c>
      <c r="X336" s="55" t="s">
        <v>636</v>
      </c>
      <c r="Y336" s="224"/>
      <c r="Z336" s="31">
        <v>184</v>
      </c>
    </row>
    <row r="337" spans="1:26" ht="12.75" hidden="1" outlineLevel="2" x14ac:dyDescent="0.2">
      <c r="A337" s="251" t="s">
        <v>375</v>
      </c>
      <c r="B337" s="251" t="s">
        <v>376</v>
      </c>
      <c r="C337" s="251" t="s">
        <v>612</v>
      </c>
      <c r="D337" s="251" t="s">
        <v>613</v>
      </c>
      <c r="E337" s="252" t="s">
        <v>291</v>
      </c>
      <c r="F337" s="253" t="s">
        <v>108</v>
      </c>
      <c r="G337" s="270">
        <v>9</v>
      </c>
      <c r="H337" s="420">
        <v>4</v>
      </c>
      <c r="I337" s="422"/>
      <c r="J337" s="422"/>
      <c r="K337" s="422">
        <v>0</v>
      </c>
      <c r="L337" s="422"/>
      <c r="M337" s="260">
        <f t="shared" ref="M337" si="188">SUM(I337:L337)</f>
        <v>0</v>
      </c>
      <c r="N337" s="255"/>
      <c r="O337" s="255"/>
      <c r="P337" s="255">
        <v>3026</v>
      </c>
      <c r="Q337" s="255">
        <v>3026</v>
      </c>
      <c r="R337" s="262">
        <f t="shared" si="175"/>
        <v>0</v>
      </c>
      <c r="S337" s="269">
        <f t="shared" si="176"/>
        <v>0</v>
      </c>
      <c r="T337" s="269">
        <f t="shared" si="177"/>
        <v>0</v>
      </c>
      <c r="U337" s="269">
        <f t="shared" si="178"/>
        <v>0</v>
      </c>
      <c r="V337" s="269">
        <f t="shared" si="179"/>
        <v>0</v>
      </c>
      <c r="W337" s="262">
        <f t="shared" ref="W337" si="189">SUM(S337:V337)</f>
        <v>0</v>
      </c>
      <c r="X337" s="55" t="s">
        <v>583</v>
      </c>
      <c r="Y337" s="224"/>
    </row>
    <row r="338" spans="1:26" ht="12.75" hidden="1" outlineLevel="2" x14ac:dyDescent="0.2">
      <c r="A338" s="251" t="s">
        <v>375</v>
      </c>
      <c r="B338" s="251" t="s">
        <v>376</v>
      </c>
      <c r="C338" s="251" t="s">
        <v>292</v>
      </c>
      <c r="D338" s="251" t="s">
        <v>198</v>
      </c>
      <c r="E338" s="252" t="s">
        <v>16</v>
      </c>
      <c r="F338" s="253" t="s">
        <v>108</v>
      </c>
      <c r="G338" s="267">
        <v>9</v>
      </c>
      <c r="H338" s="424">
        <v>4</v>
      </c>
      <c r="I338" s="259"/>
      <c r="J338" s="264"/>
      <c r="K338" s="259"/>
      <c r="L338" s="259"/>
      <c r="M338" s="260">
        <f t="shared" si="180"/>
        <v>0</v>
      </c>
      <c r="N338" s="255">
        <v>2990</v>
      </c>
      <c r="O338" s="255">
        <v>2990</v>
      </c>
      <c r="P338" s="255">
        <v>3026</v>
      </c>
      <c r="Q338" s="255">
        <v>3026</v>
      </c>
      <c r="R338" s="262">
        <f t="shared" si="175"/>
        <v>0</v>
      </c>
      <c r="S338" s="269">
        <f t="shared" si="176"/>
        <v>0</v>
      </c>
      <c r="T338" s="269">
        <f t="shared" si="177"/>
        <v>0</v>
      </c>
      <c r="U338" s="269">
        <f t="shared" si="178"/>
        <v>0</v>
      </c>
      <c r="V338" s="269">
        <f t="shared" si="179"/>
        <v>0</v>
      </c>
      <c r="W338" s="262">
        <f t="shared" si="181"/>
        <v>0</v>
      </c>
      <c r="X338" s="55" t="s">
        <v>636</v>
      </c>
      <c r="Y338" s="224"/>
      <c r="Z338" s="31">
        <v>184</v>
      </c>
    </row>
    <row r="339" spans="1:26" ht="12.75" hidden="1" outlineLevel="2" x14ac:dyDescent="0.2">
      <c r="A339" s="251" t="s">
        <v>375</v>
      </c>
      <c r="B339" s="251" t="s">
        <v>376</v>
      </c>
      <c r="C339" s="251" t="s">
        <v>612</v>
      </c>
      <c r="D339" s="251" t="s">
        <v>614</v>
      </c>
      <c r="E339" s="252" t="s">
        <v>16</v>
      </c>
      <c r="F339" s="253" t="s">
        <v>108</v>
      </c>
      <c r="G339" s="270">
        <v>9</v>
      </c>
      <c r="H339" s="420">
        <v>4</v>
      </c>
      <c r="I339" s="422"/>
      <c r="J339" s="422"/>
      <c r="K339" s="422">
        <v>0</v>
      </c>
      <c r="L339" s="422"/>
      <c r="M339" s="260">
        <f t="shared" ref="M339" si="190">SUM(I339:L339)</f>
        <v>0</v>
      </c>
      <c r="N339" s="255"/>
      <c r="O339" s="255"/>
      <c r="P339" s="255">
        <v>3026</v>
      </c>
      <c r="Q339" s="255">
        <v>3026</v>
      </c>
      <c r="R339" s="262">
        <f t="shared" si="175"/>
        <v>0</v>
      </c>
      <c r="S339" s="269">
        <f t="shared" si="176"/>
        <v>0</v>
      </c>
      <c r="T339" s="269">
        <f t="shared" si="177"/>
        <v>0</v>
      </c>
      <c r="U339" s="269">
        <f t="shared" si="178"/>
        <v>0</v>
      </c>
      <c r="V339" s="269"/>
      <c r="W339" s="262">
        <f t="shared" ref="W339" si="191">SUM(S339:V339)</f>
        <v>0</v>
      </c>
      <c r="X339" s="55" t="s">
        <v>583</v>
      </c>
      <c r="Y339" s="224"/>
    </row>
    <row r="340" spans="1:26" ht="12.75" hidden="1" outlineLevel="2" x14ac:dyDescent="0.2">
      <c r="A340" s="251" t="s">
        <v>375</v>
      </c>
      <c r="B340" s="251" t="s">
        <v>376</v>
      </c>
      <c r="C340" s="251" t="s">
        <v>292</v>
      </c>
      <c r="D340" s="251" t="s">
        <v>293</v>
      </c>
      <c r="E340" s="252" t="s">
        <v>16</v>
      </c>
      <c r="F340" s="253" t="s">
        <v>108</v>
      </c>
      <c r="G340" s="267">
        <v>9</v>
      </c>
      <c r="H340" s="424">
        <v>4</v>
      </c>
      <c r="I340" s="259"/>
      <c r="J340" s="264"/>
      <c r="K340" s="259"/>
      <c r="L340" s="259"/>
      <c r="M340" s="260">
        <f t="shared" si="113"/>
        <v>0</v>
      </c>
      <c r="N340" s="255">
        <v>2990</v>
      </c>
      <c r="O340" s="255">
        <v>2990</v>
      </c>
      <c r="P340" s="255">
        <v>3026</v>
      </c>
      <c r="Q340" s="255">
        <v>3026</v>
      </c>
      <c r="R340" s="262">
        <f t="shared" si="175"/>
        <v>0</v>
      </c>
      <c r="S340" s="269">
        <f t="shared" si="176"/>
        <v>0</v>
      </c>
      <c r="T340" s="269">
        <f t="shared" si="177"/>
        <v>0</v>
      </c>
      <c r="U340" s="269">
        <f t="shared" si="178"/>
        <v>0</v>
      </c>
      <c r="V340" s="269">
        <f t="shared" si="179"/>
        <v>0</v>
      </c>
      <c r="W340" s="262">
        <f t="shared" si="115"/>
        <v>0</v>
      </c>
      <c r="X340" s="55" t="s">
        <v>636</v>
      </c>
      <c r="Y340" s="224"/>
      <c r="Z340" s="31">
        <v>185</v>
      </c>
    </row>
    <row r="341" spans="1:26" ht="12.75" hidden="1" outlineLevel="2" x14ac:dyDescent="0.2">
      <c r="A341" s="251" t="s">
        <v>375</v>
      </c>
      <c r="B341" s="251" t="s">
        <v>376</v>
      </c>
      <c r="C341" s="251" t="s">
        <v>612</v>
      </c>
      <c r="D341" s="251" t="s">
        <v>615</v>
      </c>
      <c r="E341" s="252" t="s">
        <v>16</v>
      </c>
      <c r="F341" s="253" t="s">
        <v>108</v>
      </c>
      <c r="G341" s="270">
        <v>9</v>
      </c>
      <c r="H341" s="420">
        <v>4</v>
      </c>
      <c r="I341" s="422"/>
      <c r="J341" s="422"/>
      <c r="K341" s="422">
        <v>0</v>
      </c>
      <c r="L341" s="422"/>
      <c r="M341" s="260">
        <f t="shared" ref="M341" si="192">SUM(I341:L341)</f>
        <v>0</v>
      </c>
      <c r="N341" s="255"/>
      <c r="O341" s="255"/>
      <c r="P341" s="255">
        <v>3026</v>
      </c>
      <c r="Q341" s="255">
        <v>3026</v>
      </c>
      <c r="R341" s="262">
        <f t="shared" si="175"/>
        <v>0</v>
      </c>
      <c r="S341" s="269">
        <f t="shared" si="176"/>
        <v>0</v>
      </c>
      <c r="T341" s="269">
        <f t="shared" si="177"/>
        <v>0</v>
      </c>
      <c r="U341" s="269">
        <f t="shared" si="178"/>
        <v>0</v>
      </c>
      <c r="V341" s="269">
        <f t="shared" si="179"/>
        <v>0</v>
      </c>
      <c r="W341" s="262">
        <f t="shared" si="115"/>
        <v>0</v>
      </c>
      <c r="X341" s="55" t="s">
        <v>583</v>
      </c>
      <c r="Y341" s="224"/>
    </row>
    <row r="342" spans="1:26" ht="12.75" hidden="1" outlineLevel="2" x14ac:dyDescent="0.2">
      <c r="A342" s="251" t="s">
        <v>384</v>
      </c>
      <c r="B342" s="251" t="s">
        <v>385</v>
      </c>
      <c r="C342" s="251">
        <v>600</v>
      </c>
      <c r="D342" s="251" t="s">
        <v>456</v>
      </c>
      <c r="E342" s="252" t="s">
        <v>291</v>
      </c>
      <c r="F342" s="253" t="s">
        <v>561</v>
      </c>
      <c r="G342" s="267">
        <v>9</v>
      </c>
      <c r="H342" s="424">
        <v>5</v>
      </c>
      <c r="I342" s="259"/>
      <c r="J342" s="259"/>
      <c r="K342" s="259"/>
      <c r="L342" s="259"/>
      <c r="M342" s="260">
        <f t="shared" si="113"/>
        <v>0</v>
      </c>
      <c r="N342" s="255">
        <v>4450</v>
      </c>
      <c r="O342" s="255">
        <v>4450</v>
      </c>
      <c r="P342" s="255">
        <v>4450</v>
      </c>
      <c r="Q342" s="255">
        <v>4450</v>
      </c>
      <c r="R342" s="262">
        <f t="shared" si="175"/>
        <v>0</v>
      </c>
      <c r="S342" s="269">
        <f t="shared" si="176"/>
        <v>0</v>
      </c>
      <c r="T342" s="269">
        <f t="shared" si="177"/>
        <v>0</v>
      </c>
      <c r="U342" s="269">
        <f t="shared" si="178"/>
        <v>0</v>
      </c>
      <c r="V342" s="269">
        <f t="shared" si="179"/>
        <v>0</v>
      </c>
      <c r="W342" s="262">
        <f t="shared" si="115"/>
        <v>0</v>
      </c>
      <c r="X342" s="55"/>
      <c r="Y342" s="224"/>
      <c r="Z342" s="31">
        <v>186</v>
      </c>
    </row>
    <row r="343" spans="1:26" ht="11.25" outlineLevel="1" collapsed="1" x14ac:dyDescent="0.2">
      <c r="D343" s="343" t="s">
        <v>649</v>
      </c>
      <c r="G343" s="238" t="s">
        <v>180</v>
      </c>
      <c r="I343" s="31">
        <f>SUBTOTAL(9,I325:I342)</f>
        <v>183</v>
      </c>
      <c r="J343" s="31">
        <f>SUBTOTAL(9,J325:J342)</f>
        <v>202</v>
      </c>
      <c r="K343" s="31">
        <f>SUBTOTAL(9,K325:K342)</f>
        <v>115</v>
      </c>
      <c r="L343" s="213">
        <f>SUBTOTAL(9,L325:L342)</f>
        <v>139</v>
      </c>
      <c r="M343" s="214">
        <f>SUBTOTAL(9,M325:M342)</f>
        <v>639</v>
      </c>
      <c r="R343" s="57">
        <f t="shared" ref="R343:W343" si="193">SUBTOTAL(9,R325:R342)</f>
        <v>1109710</v>
      </c>
      <c r="S343" s="414">
        <f t="shared" si="193"/>
        <v>329170</v>
      </c>
      <c r="T343" s="414">
        <f t="shared" si="193"/>
        <v>352980</v>
      </c>
      <c r="U343" s="414">
        <f t="shared" si="193"/>
        <v>202262</v>
      </c>
      <c r="V343" s="414">
        <f t="shared" si="193"/>
        <v>225298</v>
      </c>
      <c r="W343" s="57">
        <f t="shared" si="193"/>
        <v>1109710</v>
      </c>
      <c r="X343" s="55"/>
      <c r="Y343" s="224"/>
      <c r="Z343" s="31">
        <v>187</v>
      </c>
    </row>
    <row r="344" spans="1:26" outlineLevel="1" x14ac:dyDescent="0.15">
      <c r="G344" s="238"/>
      <c r="J344" s="31"/>
      <c r="K344" s="31"/>
      <c r="L344" s="213"/>
      <c r="M344" s="344"/>
      <c r="S344" s="414"/>
      <c r="T344" s="414"/>
      <c r="U344" s="414"/>
      <c r="V344" s="414"/>
      <c r="W344" s="57"/>
      <c r="X344" s="55"/>
      <c r="Y344" s="224"/>
    </row>
    <row r="345" spans="1:26" ht="12.75" hidden="1" outlineLevel="2" x14ac:dyDescent="0.2">
      <c r="A345" s="251" t="s">
        <v>377</v>
      </c>
      <c r="B345" s="251" t="s">
        <v>378</v>
      </c>
      <c r="C345" s="251"/>
      <c r="D345" s="251" t="s">
        <v>514</v>
      </c>
      <c r="E345" s="252" t="s">
        <v>16</v>
      </c>
      <c r="F345" s="253" t="s">
        <v>106</v>
      </c>
      <c r="G345" s="267" t="s">
        <v>515</v>
      </c>
      <c r="H345" s="425" t="s">
        <v>516</v>
      </c>
      <c r="I345" s="259">
        <v>111</v>
      </c>
      <c r="J345" s="259">
        <v>622</v>
      </c>
      <c r="K345" s="259">
        <v>866</v>
      </c>
      <c r="L345" s="259">
        <v>1634</v>
      </c>
      <c r="M345" s="268">
        <f t="shared" ref="M345" si="194">SUM(I345:L345)</f>
        <v>3233</v>
      </c>
      <c r="N345" s="255">
        <v>4200</v>
      </c>
      <c r="O345" s="255">
        <v>4200</v>
      </c>
      <c r="P345" s="255">
        <v>4200</v>
      </c>
      <c r="Q345" s="255">
        <v>4200</v>
      </c>
      <c r="R345" s="262">
        <f t="shared" ref="R345:R366" si="195">SUMPRODUCT(I345:L345,N345:Q345)</f>
        <v>13578600</v>
      </c>
      <c r="S345" s="269">
        <f t="shared" ref="S345:S366" si="196">IF(N345&gt;prisgrense,I345*prisgrense,I345*N345)</f>
        <v>466200</v>
      </c>
      <c r="T345" s="269">
        <f t="shared" ref="T345:T366" si="197">IF(O345&gt;prisgrense,J345*prisgrense,J345*O345)</f>
        <v>2612400</v>
      </c>
      <c r="U345" s="269">
        <f t="shared" ref="U345:U366" si="198">IF(P345&gt;prisgrense,K345*prisgrense,K345*P345)</f>
        <v>3637200</v>
      </c>
      <c r="V345" s="269">
        <f t="shared" ref="V345:V366" si="199">IF(Q345&gt;prisgrense,L345*prisgrense,L345*Q345)</f>
        <v>6862800</v>
      </c>
      <c r="W345" s="262">
        <f>SUM(S345:V345)</f>
        <v>13578600</v>
      </c>
      <c r="X345" s="55"/>
      <c r="Y345" s="224"/>
    </row>
    <row r="346" spans="1:26" ht="12.75" hidden="1" outlineLevel="2" x14ac:dyDescent="0.2">
      <c r="A346" s="251" t="s">
        <v>377</v>
      </c>
      <c r="B346" s="251" t="s">
        <v>378</v>
      </c>
      <c r="C346" s="251"/>
      <c r="D346" s="251" t="s">
        <v>517</v>
      </c>
      <c r="E346" s="252" t="s">
        <v>16</v>
      </c>
      <c r="F346" s="253" t="s">
        <v>106</v>
      </c>
      <c r="G346" s="267" t="s">
        <v>515</v>
      </c>
      <c r="H346" s="425" t="s">
        <v>518</v>
      </c>
      <c r="I346" s="259">
        <v>0</v>
      </c>
      <c r="J346" s="259"/>
      <c r="K346" s="259"/>
      <c r="L346" s="259"/>
      <c r="M346" s="268">
        <f t="shared" ref="M346:M366" si="200">SUM(I346:L346)</f>
        <v>0</v>
      </c>
      <c r="N346" s="255">
        <v>2200</v>
      </c>
      <c r="O346" s="255">
        <v>2200</v>
      </c>
      <c r="P346" s="255">
        <v>2200</v>
      </c>
      <c r="Q346" s="255">
        <v>2200</v>
      </c>
      <c r="R346" s="262">
        <f t="shared" si="195"/>
        <v>0</v>
      </c>
      <c r="S346" s="269">
        <f t="shared" si="196"/>
        <v>0</v>
      </c>
      <c r="T346" s="269">
        <f t="shared" si="197"/>
        <v>0</v>
      </c>
      <c r="U346" s="269">
        <f t="shared" si="198"/>
        <v>0</v>
      </c>
      <c r="V346" s="269">
        <f t="shared" si="199"/>
        <v>0</v>
      </c>
      <c r="W346" s="262">
        <f t="shared" ref="W346:W366" si="201">SUM(S346:V346)</f>
        <v>0</v>
      </c>
      <c r="X346" s="55"/>
      <c r="Y346" s="224"/>
    </row>
    <row r="347" spans="1:26" ht="12.75" hidden="1" outlineLevel="2" x14ac:dyDescent="0.2">
      <c r="A347" s="251" t="s">
        <v>377</v>
      </c>
      <c r="B347" s="251" t="s">
        <v>378</v>
      </c>
      <c r="C347" s="251"/>
      <c r="D347" s="251" t="s">
        <v>519</v>
      </c>
      <c r="E347" s="252" t="s">
        <v>16</v>
      </c>
      <c r="F347" s="253" t="s">
        <v>106</v>
      </c>
      <c r="G347" s="267" t="s">
        <v>515</v>
      </c>
      <c r="H347" s="425" t="s">
        <v>520</v>
      </c>
      <c r="I347" s="259">
        <v>0</v>
      </c>
      <c r="J347" s="259"/>
      <c r="K347" s="259"/>
      <c r="L347" s="259"/>
      <c r="M347" s="268">
        <f t="shared" si="200"/>
        <v>0</v>
      </c>
      <c r="N347" s="255">
        <v>3400</v>
      </c>
      <c r="O347" s="255">
        <v>3400</v>
      </c>
      <c r="P347" s="255">
        <v>3400</v>
      </c>
      <c r="Q347" s="255">
        <v>3400</v>
      </c>
      <c r="R347" s="262">
        <f t="shared" si="195"/>
        <v>0</v>
      </c>
      <c r="S347" s="269">
        <f t="shared" si="196"/>
        <v>0</v>
      </c>
      <c r="T347" s="269">
        <f t="shared" si="197"/>
        <v>0</v>
      </c>
      <c r="U347" s="269">
        <f t="shared" si="198"/>
        <v>0</v>
      </c>
      <c r="V347" s="269">
        <f t="shared" si="199"/>
        <v>0</v>
      </c>
      <c r="W347" s="262">
        <f t="shared" si="201"/>
        <v>0</v>
      </c>
      <c r="X347" s="55"/>
      <c r="Y347" s="224"/>
    </row>
    <row r="348" spans="1:26" ht="12.75" hidden="1" outlineLevel="2" x14ac:dyDescent="0.2">
      <c r="A348" s="251" t="s">
        <v>388</v>
      </c>
      <c r="B348" s="251" t="s">
        <v>95</v>
      </c>
      <c r="C348" s="251" t="s">
        <v>521</v>
      </c>
      <c r="D348" s="251" t="s">
        <v>522</v>
      </c>
      <c r="E348" s="252" t="s">
        <v>16</v>
      </c>
      <c r="F348" s="253" t="s">
        <v>108</v>
      </c>
      <c r="G348" s="267" t="s">
        <v>515</v>
      </c>
      <c r="H348" s="425" t="s">
        <v>523</v>
      </c>
      <c r="I348" s="259">
        <v>50</v>
      </c>
      <c r="J348" s="259">
        <v>104</v>
      </c>
      <c r="K348" s="259">
        <v>136</v>
      </c>
      <c r="L348" s="259">
        <v>207</v>
      </c>
      <c r="M348" s="268">
        <f t="shared" si="200"/>
        <v>497</v>
      </c>
      <c r="N348" s="255">
        <v>4816</v>
      </c>
      <c r="O348" s="255">
        <v>4816</v>
      </c>
      <c r="P348" s="255">
        <v>4873</v>
      </c>
      <c r="Q348" s="255">
        <v>4873</v>
      </c>
      <c r="R348" s="262">
        <f t="shared" si="195"/>
        <v>2413103</v>
      </c>
      <c r="S348" s="269">
        <f t="shared" si="196"/>
        <v>227200</v>
      </c>
      <c r="T348" s="269">
        <f t="shared" si="197"/>
        <v>472576</v>
      </c>
      <c r="U348" s="269">
        <f t="shared" si="198"/>
        <v>617984</v>
      </c>
      <c r="V348" s="269">
        <f t="shared" si="199"/>
        <v>940608</v>
      </c>
      <c r="W348" s="262">
        <f t="shared" si="201"/>
        <v>2258368</v>
      </c>
      <c r="X348" s="55"/>
      <c r="Y348" s="224"/>
    </row>
    <row r="349" spans="1:26" ht="12.75" hidden="1" outlineLevel="2" x14ac:dyDescent="0.2">
      <c r="A349" s="251" t="s">
        <v>388</v>
      </c>
      <c r="B349" s="251" t="s">
        <v>95</v>
      </c>
      <c r="C349" s="251" t="s">
        <v>521</v>
      </c>
      <c r="D349" s="251" t="s">
        <v>524</v>
      </c>
      <c r="E349" s="252" t="s">
        <v>291</v>
      </c>
      <c r="F349" s="253" t="s">
        <v>108</v>
      </c>
      <c r="G349" s="267" t="s">
        <v>515</v>
      </c>
      <c r="H349" s="425" t="s">
        <v>525</v>
      </c>
      <c r="I349" s="259">
        <v>30</v>
      </c>
      <c r="J349" s="259">
        <v>67</v>
      </c>
      <c r="K349" s="259">
        <v>71</v>
      </c>
      <c r="L349" s="259">
        <v>98</v>
      </c>
      <c r="M349" s="268">
        <f t="shared" si="200"/>
        <v>266</v>
      </c>
      <c r="N349" s="255">
        <v>4816</v>
      </c>
      <c r="O349" s="255">
        <v>4816</v>
      </c>
      <c r="P349" s="255">
        <v>4873</v>
      </c>
      <c r="Q349" s="255">
        <v>4873</v>
      </c>
      <c r="R349" s="262">
        <f t="shared" si="195"/>
        <v>1290689</v>
      </c>
      <c r="S349" s="269">
        <f t="shared" si="196"/>
        <v>136320</v>
      </c>
      <c r="T349" s="269">
        <f t="shared" si="197"/>
        <v>304448</v>
      </c>
      <c r="U349" s="269">
        <f t="shared" si="198"/>
        <v>322624</v>
      </c>
      <c r="V349" s="269">
        <f t="shared" si="199"/>
        <v>445312</v>
      </c>
      <c r="W349" s="262">
        <f t="shared" si="201"/>
        <v>1208704</v>
      </c>
      <c r="X349" s="55"/>
      <c r="Y349" s="224"/>
    </row>
    <row r="350" spans="1:26" ht="12.75" hidden="1" outlineLevel="2" x14ac:dyDescent="0.2">
      <c r="A350" s="251" t="s">
        <v>388</v>
      </c>
      <c r="B350" s="251" t="s">
        <v>95</v>
      </c>
      <c r="C350" s="251" t="s">
        <v>521</v>
      </c>
      <c r="D350" s="251" t="s">
        <v>526</v>
      </c>
      <c r="E350" s="252" t="s">
        <v>16</v>
      </c>
      <c r="F350" s="253" t="s">
        <v>106</v>
      </c>
      <c r="G350" s="267" t="s">
        <v>515</v>
      </c>
      <c r="H350" s="425" t="s">
        <v>527</v>
      </c>
      <c r="I350" s="259">
        <v>432</v>
      </c>
      <c r="J350" s="259">
        <v>1172</v>
      </c>
      <c r="K350" s="259">
        <v>960</v>
      </c>
      <c r="L350" s="259">
        <v>1304</v>
      </c>
      <c r="M350" s="268">
        <f t="shared" si="200"/>
        <v>3868</v>
      </c>
      <c r="N350" s="255">
        <v>4816</v>
      </c>
      <c r="O350" s="255">
        <v>4816</v>
      </c>
      <c r="P350" s="255">
        <v>4873</v>
      </c>
      <c r="Q350" s="255">
        <v>4873</v>
      </c>
      <c r="R350" s="262">
        <f t="shared" si="195"/>
        <v>18757336</v>
      </c>
      <c r="S350" s="269">
        <f t="shared" si="196"/>
        <v>1963008</v>
      </c>
      <c r="T350" s="269">
        <f t="shared" si="197"/>
        <v>5325568</v>
      </c>
      <c r="U350" s="269">
        <f t="shared" si="198"/>
        <v>4362240</v>
      </c>
      <c r="V350" s="269">
        <f t="shared" si="199"/>
        <v>5925376</v>
      </c>
      <c r="W350" s="262">
        <f t="shared" si="201"/>
        <v>17576192</v>
      </c>
      <c r="X350" s="55"/>
      <c r="Y350" s="224"/>
    </row>
    <row r="351" spans="1:26" ht="12.75" hidden="1" outlineLevel="2" x14ac:dyDescent="0.2">
      <c r="A351" s="251" t="s">
        <v>377</v>
      </c>
      <c r="B351" s="251" t="s">
        <v>378</v>
      </c>
      <c r="C351" s="251"/>
      <c r="D351" s="251" t="s">
        <v>528</v>
      </c>
      <c r="E351" s="252" t="s">
        <v>16</v>
      </c>
      <c r="F351" s="253" t="s">
        <v>106</v>
      </c>
      <c r="G351" s="267" t="s">
        <v>515</v>
      </c>
      <c r="H351" s="425" t="s">
        <v>529</v>
      </c>
      <c r="I351" s="259">
        <v>0</v>
      </c>
      <c r="J351" s="259"/>
      <c r="K351" s="259"/>
      <c r="L351" s="259"/>
      <c r="M351" s="268">
        <f t="shared" si="200"/>
        <v>0</v>
      </c>
      <c r="N351" s="255">
        <v>3400</v>
      </c>
      <c r="O351" s="255">
        <v>3400</v>
      </c>
      <c r="P351" s="255">
        <v>3400</v>
      </c>
      <c r="Q351" s="255">
        <v>3400</v>
      </c>
      <c r="R351" s="262">
        <f t="shared" si="195"/>
        <v>0</v>
      </c>
      <c r="S351" s="269">
        <f t="shared" si="196"/>
        <v>0</v>
      </c>
      <c r="T351" s="269">
        <f t="shared" si="197"/>
        <v>0</v>
      </c>
      <c r="U351" s="269">
        <f t="shared" si="198"/>
        <v>0</v>
      </c>
      <c r="V351" s="269">
        <f t="shared" si="199"/>
        <v>0</v>
      </c>
      <c r="W351" s="262">
        <f t="shared" si="201"/>
        <v>0</v>
      </c>
      <c r="X351" s="55"/>
      <c r="Y351" s="224"/>
    </row>
    <row r="352" spans="1:26" ht="12.75" hidden="1" outlineLevel="2" x14ac:dyDescent="0.2">
      <c r="A352" s="251" t="s">
        <v>377</v>
      </c>
      <c r="B352" s="251" t="s">
        <v>378</v>
      </c>
      <c r="C352" s="251"/>
      <c r="D352" s="251" t="s">
        <v>530</v>
      </c>
      <c r="E352" s="252" t="s">
        <v>16</v>
      </c>
      <c r="F352" s="253" t="s">
        <v>108</v>
      </c>
      <c r="G352" s="267" t="s">
        <v>515</v>
      </c>
      <c r="H352" s="425" t="s">
        <v>531</v>
      </c>
      <c r="I352" s="259">
        <v>5</v>
      </c>
      <c r="J352" s="259">
        <v>19</v>
      </c>
      <c r="K352" s="259"/>
      <c r="L352" s="259"/>
      <c r="M352" s="268">
        <f t="shared" si="200"/>
        <v>24</v>
      </c>
      <c r="N352" s="255">
        <v>3400</v>
      </c>
      <c r="O352" s="255">
        <v>3400</v>
      </c>
      <c r="P352" s="255">
        <v>3400</v>
      </c>
      <c r="Q352" s="255">
        <v>3400</v>
      </c>
      <c r="R352" s="262">
        <f t="shared" si="195"/>
        <v>81600</v>
      </c>
      <c r="S352" s="269">
        <f t="shared" si="196"/>
        <v>17000</v>
      </c>
      <c r="T352" s="269">
        <f t="shared" si="197"/>
        <v>64600</v>
      </c>
      <c r="U352" s="269">
        <f t="shared" si="198"/>
        <v>0</v>
      </c>
      <c r="V352" s="269">
        <f t="shared" si="199"/>
        <v>0</v>
      </c>
      <c r="W352" s="262">
        <f t="shared" si="201"/>
        <v>81600</v>
      </c>
      <c r="X352" s="55"/>
      <c r="Y352" s="224"/>
    </row>
    <row r="353" spans="1:26" ht="12.75" hidden="1" outlineLevel="2" x14ac:dyDescent="0.2">
      <c r="A353" s="251" t="s">
        <v>388</v>
      </c>
      <c r="B353" s="251" t="s">
        <v>95</v>
      </c>
      <c r="C353" s="251" t="s">
        <v>521</v>
      </c>
      <c r="D353" s="251" t="s">
        <v>532</v>
      </c>
      <c r="E353" s="252" t="s">
        <v>16</v>
      </c>
      <c r="F353" s="253" t="s">
        <v>108</v>
      </c>
      <c r="G353" s="267" t="s">
        <v>515</v>
      </c>
      <c r="H353" s="425" t="s">
        <v>533</v>
      </c>
      <c r="I353" s="259">
        <v>51</v>
      </c>
      <c r="J353" s="259">
        <v>255</v>
      </c>
      <c r="K353" s="259">
        <v>165</v>
      </c>
      <c r="L353" s="259">
        <v>221</v>
      </c>
      <c r="M353" s="268">
        <f t="shared" si="200"/>
        <v>692</v>
      </c>
      <c r="N353" s="255">
        <v>4816</v>
      </c>
      <c r="O353" s="255">
        <v>4816</v>
      </c>
      <c r="P353" s="255">
        <v>4873</v>
      </c>
      <c r="Q353" s="255">
        <v>4873</v>
      </c>
      <c r="R353" s="262">
        <f t="shared" si="195"/>
        <v>3354674</v>
      </c>
      <c r="S353" s="269">
        <f t="shared" ref="S353:S364" si="202">IF(N353&gt;prisgrense,I353*prisgrense,I353*N353)</f>
        <v>231744</v>
      </c>
      <c r="T353" s="269">
        <f t="shared" ref="T353:T364" si="203">IF(O353&gt;prisgrense,J353*prisgrense,J353*O353)</f>
        <v>1158720</v>
      </c>
      <c r="U353" s="269">
        <f t="shared" ref="U353:U364" si="204">IF(P353&gt;prisgrense,K353*prisgrense,K353*P353)</f>
        <v>749760</v>
      </c>
      <c r="V353" s="269">
        <f t="shared" ref="V353:V364" si="205">IF(Q353&gt;prisgrense,L353*prisgrense,L353*Q353)</f>
        <v>1004224</v>
      </c>
      <c r="W353" s="262">
        <f t="shared" ref="W353:W364" si="206">SUM(S353:V353)</f>
        <v>3144448</v>
      </c>
      <c r="X353" s="55"/>
      <c r="Y353" s="224"/>
    </row>
    <row r="354" spans="1:26" ht="12.75" hidden="1" outlineLevel="2" x14ac:dyDescent="0.2">
      <c r="A354" s="251" t="s">
        <v>386</v>
      </c>
      <c r="B354" s="251" t="s">
        <v>387</v>
      </c>
      <c r="C354" s="251"/>
      <c r="D354" s="251" t="s">
        <v>534</v>
      </c>
      <c r="E354" s="252" t="s">
        <v>16</v>
      </c>
      <c r="F354" s="253" t="s">
        <v>106</v>
      </c>
      <c r="G354" s="267" t="s">
        <v>515</v>
      </c>
      <c r="H354" s="425" t="s">
        <v>535</v>
      </c>
      <c r="I354" s="259"/>
      <c r="J354" s="259"/>
      <c r="K354" s="259"/>
      <c r="L354" s="259"/>
      <c r="M354" s="268">
        <f t="shared" si="200"/>
        <v>0</v>
      </c>
      <c r="N354" s="255">
        <v>3890</v>
      </c>
      <c r="O354" s="255">
        <v>3890</v>
      </c>
      <c r="P354" s="255">
        <v>3936</v>
      </c>
      <c r="Q354" s="255">
        <v>3936</v>
      </c>
      <c r="R354" s="262">
        <f t="shared" si="195"/>
        <v>0</v>
      </c>
      <c r="S354" s="269">
        <f t="shared" si="202"/>
        <v>0</v>
      </c>
      <c r="T354" s="269">
        <f t="shared" si="203"/>
        <v>0</v>
      </c>
      <c r="U354" s="269">
        <f t="shared" si="204"/>
        <v>0</v>
      </c>
      <c r="V354" s="269">
        <f t="shared" si="205"/>
        <v>0</v>
      </c>
      <c r="W354" s="262">
        <f t="shared" si="206"/>
        <v>0</v>
      </c>
      <c r="X354" s="55"/>
      <c r="Y354" s="224"/>
    </row>
    <row r="355" spans="1:26" ht="12.75" hidden="1" outlineLevel="2" x14ac:dyDescent="0.2">
      <c r="A355" s="251" t="s">
        <v>386</v>
      </c>
      <c r="B355" s="251" t="s">
        <v>387</v>
      </c>
      <c r="C355" s="251"/>
      <c r="D355" s="251" t="s">
        <v>536</v>
      </c>
      <c r="E355" s="252" t="s">
        <v>17</v>
      </c>
      <c r="F355" s="253" t="s">
        <v>290</v>
      </c>
      <c r="G355" s="267" t="s">
        <v>515</v>
      </c>
      <c r="H355" s="425" t="s">
        <v>467</v>
      </c>
      <c r="I355" s="259"/>
      <c r="J355" s="259"/>
      <c r="K355" s="259"/>
      <c r="L355" s="259"/>
      <c r="M355" s="268">
        <f t="shared" si="200"/>
        <v>0</v>
      </c>
      <c r="N355" s="255">
        <v>3890</v>
      </c>
      <c r="O355" s="255">
        <v>3890</v>
      </c>
      <c r="P355" s="255">
        <v>3936</v>
      </c>
      <c r="Q355" s="255">
        <v>3936</v>
      </c>
      <c r="R355" s="262">
        <f t="shared" si="195"/>
        <v>0</v>
      </c>
      <c r="S355" s="269">
        <f t="shared" si="202"/>
        <v>0</v>
      </c>
      <c r="T355" s="269">
        <f t="shared" si="203"/>
        <v>0</v>
      </c>
      <c r="U355" s="269">
        <f t="shared" si="204"/>
        <v>0</v>
      </c>
      <c r="V355" s="269">
        <f t="shared" si="205"/>
        <v>0</v>
      </c>
      <c r="W355" s="262">
        <f t="shared" si="206"/>
        <v>0</v>
      </c>
      <c r="X355" s="55"/>
      <c r="Y355" s="224"/>
    </row>
    <row r="356" spans="1:26" ht="12.75" hidden="1" outlineLevel="2" x14ac:dyDescent="0.2">
      <c r="A356" s="251" t="s">
        <v>386</v>
      </c>
      <c r="B356" s="251" t="s">
        <v>387</v>
      </c>
      <c r="C356" s="251"/>
      <c r="D356" s="251" t="s">
        <v>537</v>
      </c>
      <c r="E356" s="252" t="s">
        <v>16</v>
      </c>
      <c r="F356" s="253" t="s">
        <v>106</v>
      </c>
      <c r="G356" s="267" t="s">
        <v>515</v>
      </c>
      <c r="H356" s="425" t="s">
        <v>164</v>
      </c>
      <c r="I356" s="259">
        <v>22</v>
      </c>
      <c r="J356" s="259">
        <v>63</v>
      </c>
      <c r="K356" s="259">
        <v>62</v>
      </c>
      <c r="L356" s="259">
        <v>98</v>
      </c>
      <c r="M356" s="268">
        <f t="shared" si="200"/>
        <v>245</v>
      </c>
      <c r="N356" s="255">
        <v>4500</v>
      </c>
      <c r="O356" s="255">
        <v>4500</v>
      </c>
      <c r="P356" s="255">
        <v>4554</v>
      </c>
      <c r="Q356" s="255">
        <v>4554</v>
      </c>
      <c r="R356" s="262">
        <f t="shared" si="195"/>
        <v>1111140</v>
      </c>
      <c r="S356" s="269">
        <f t="shared" si="202"/>
        <v>99000</v>
      </c>
      <c r="T356" s="269">
        <f t="shared" si="203"/>
        <v>283500</v>
      </c>
      <c r="U356" s="269">
        <f t="shared" si="204"/>
        <v>281728</v>
      </c>
      <c r="V356" s="269">
        <f t="shared" si="205"/>
        <v>445312</v>
      </c>
      <c r="W356" s="262">
        <f t="shared" si="206"/>
        <v>1109540</v>
      </c>
      <c r="X356" s="55"/>
      <c r="Y356" s="224"/>
    </row>
    <row r="357" spans="1:26" ht="12.75" hidden="1" outlineLevel="2" x14ac:dyDescent="0.2">
      <c r="A357" s="251" t="s">
        <v>386</v>
      </c>
      <c r="B357" s="251" t="s">
        <v>387</v>
      </c>
      <c r="C357" s="251"/>
      <c r="D357" s="251" t="s">
        <v>538</v>
      </c>
      <c r="E357" s="252" t="s">
        <v>17</v>
      </c>
      <c r="F357" s="253" t="s">
        <v>290</v>
      </c>
      <c r="G357" s="267" t="s">
        <v>515</v>
      </c>
      <c r="H357" s="425" t="s">
        <v>468</v>
      </c>
      <c r="I357" s="259"/>
      <c r="J357" s="259"/>
      <c r="K357" s="259"/>
      <c r="L357" s="259">
        <v>7</v>
      </c>
      <c r="M357" s="268">
        <f t="shared" si="200"/>
        <v>7</v>
      </c>
      <c r="N357" s="255">
        <v>4500</v>
      </c>
      <c r="O357" s="255">
        <v>4500</v>
      </c>
      <c r="P357" s="255">
        <v>4554</v>
      </c>
      <c r="Q357" s="255">
        <v>4554</v>
      </c>
      <c r="R357" s="262">
        <f t="shared" si="195"/>
        <v>31878</v>
      </c>
      <c r="S357" s="269">
        <f t="shared" si="202"/>
        <v>0</v>
      </c>
      <c r="T357" s="269">
        <f t="shared" si="203"/>
        <v>0</v>
      </c>
      <c r="U357" s="269">
        <f t="shared" si="204"/>
        <v>0</v>
      </c>
      <c r="V357" s="269">
        <f t="shared" si="205"/>
        <v>31808</v>
      </c>
      <c r="W357" s="262">
        <f t="shared" si="206"/>
        <v>31808</v>
      </c>
      <c r="X357" s="55"/>
      <c r="Y357" s="224"/>
    </row>
    <row r="358" spans="1:26" ht="12.75" hidden="1" outlineLevel="2" x14ac:dyDescent="0.2">
      <c r="A358" s="251" t="s">
        <v>388</v>
      </c>
      <c r="B358" s="251" t="s">
        <v>95</v>
      </c>
      <c r="C358" s="251" t="s">
        <v>521</v>
      </c>
      <c r="D358" s="251" t="s">
        <v>539</v>
      </c>
      <c r="E358" s="252" t="s">
        <v>16</v>
      </c>
      <c r="F358" s="253" t="s">
        <v>106</v>
      </c>
      <c r="G358" s="267" t="s">
        <v>515</v>
      </c>
      <c r="H358" s="425" t="s">
        <v>469</v>
      </c>
      <c r="I358" s="259">
        <v>20</v>
      </c>
      <c r="J358" s="259">
        <v>69</v>
      </c>
      <c r="K358" s="259">
        <v>84</v>
      </c>
      <c r="L358" s="259">
        <v>94</v>
      </c>
      <c r="M358" s="268">
        <f t="shared" si="200"/>
        <v>267</v>
      </c>
      <c r="N358" s="255">
        <v>4816</v>
      </c>
      <c r="O358" s="255">
        <v>4816</v>
      </c>
      <c r="P358" s="255">
        <v>4873</v>
      </c>
      <c r="Q358" s="255">
        <v>4873</v>
      </c>
      <c r="R358" s="262">
        <f t="shared" si="195"/>
        <v>1296018</v>
      </c>
      <c r="S358" s="269">
        <f t="shared" si="202"/>
        <v>90880</v>
      </c>
      <c r="T358" s="269">
        <f t="shared" si="203"/>
        <v>313536</v>
      </c>
      <c r="U358" s="269">
        <f t="shared" si="204"/>
        <v>381696</v>
      </c>
      <c r="V358" s="269">
        <f t="shared" si="205"/>
        <v>427136</v>
      </c>
      <c r="W358" s="262">
        <f t="shared" si="206"/>
        <v>1213248</v>
      </c>
      <c r="X358" s="55"/>
      <c r="Y358" s="224"/>
    </row>
    <row r="359" spans="1:26" ht="12.75" hidden="1" outlineLevel="2" x14ac:dyDescent="0.2">
      <c r="A359" s="251" t="s">
        <v>386</v>
      </c>
      <c r="B359" s="251" t="s">
        <v>387</v>
      </c>
      <c r="C359" s="251"/>
      <c r="D359" s="251" t="s">
        <v>540</v>
      </c>
      <c r="E359" s="252" t="s">
        <v>16</v>
      </c>
      <c r="F359" s="253" t="s">
        <v>108</v>
      </c>
      <c r="G359" s="267" t="s">
        <v>515</v>
      </c>
      <c r="H359" s="425" t="s">
        <v>541</v>
      </c>
      <c r="I359" s="259"/>
      <c r="J359" s="259"/>
      <c r="K359" s="259"/>
      <c r="L359" s="259"/>
      <c r="M359" s="268">
        <f t="shared" si="200"/>
        <v>0</v>
      </c>
      <c r="N359" s="255">
        <v>3890</v>
      </c>
      <c r="O359" s="255">
        <v>3890</v>
      </c>
      <c r="P359" s="255">
        <v>3936</v>
      </c>
      <c r="Q359" s="255">
        <v>3936</v>
      </c>
      <c r="R359" s="262">
        <f t="shared" si="195"/>
        <v>0</v>
      </c>
      <c r="S359" s="269">
        <f t="shared" si="202"/>
        <v>0</v>
      </c>
      <c r="T359" s="269">
        <f t="shared" si="203"/>
        <v>0</v>
      </c>
      <c r="U359" s="269">
        <f t="shared" si="204"/>
        <v>0</v>
      </c>
      <c r="V359" s="269">
        <f t="shared" si="205"/>
        <v>0</v>
      </c>
      <c r="W359" s="262">
        <f t="shared" si="206"/>
        <v>0</v>
      </c>
      <c r="X359" s="55"/>
      <c r="Y359" s="224"/>
    </row>
    <row r="360" spans="1:26" ht="12.75" hidden="1" outlineLevel="2" x14ac:dyDescent="0.2">
      <c r="A360" s="251" t="s">
        <v>388</v>
      </c>
      <c r="B360" s="251" t="s">
        <v>95</v>
      </c>
      <c r="C360" s="251" t="s">
        <v>542</v>
      </c>
      <c r="D360" s="251" t="s">
        <v>543</v>
      </c>
      <c r="E360" s="252" t="s">
        <v>291</v>
      </c>
      <c r="F360" s="253" t="s">
        <v>108</v>
      </c>
      <c r="G360" s="267" t="s">
        <v>515</v>
      </c>
      <c r="H360" s="425" t="s">
        <v>544</v>
      </c>
      <c r="I360" s="259"/>
      <c r="J360" s="259"/>
      <c r="K360" s="259"/>
      <c r="L360" s="259"/>
      <c r="M360" s="268">
        <f t="shared" si="200"/>
        <v>0</v>
      </c>
      <c r="N360" s="255">
        <v>4350</v>
      </c>
      <c r="O360" s="255">
        <v>4350</v>
      </c>
      <c r="P360" s="255">
        <v>4402</v>
      </c>
      <c r="Q360" s="255">
        <v>4402</v>
      </c>
      <c r="R360" s="262">
        <f t="shared" si="195"/>
        <v>0</v>
      </c>
      <c r="S360" s="269">
        <f t="shared" si="202"/>
        <v>0</v>
      </c>
      <c r="T360" s="269">
        <f t="shared" si="203"/>
        <v>0</v>
      </c>
      <c r="U360" s="269">
        <f t="shared" si="204"/>
        <v>0</v>
      </c>
      <c r="V360" s="269">
        <f t="shared" si="205"/>
        <v>0</v>
      </c>
      <c r="W360" s="262">
        <f t="shared" si="206"/>
        <v>0</v>
      </c>
      <c r="X360" s="55"/>
      <c r="Y360" s="224"/>
    </row>
    <row r="361" spans="1:26" ht="12.75" hidden="1" outlineLevel="2" x14ac:dyDescent="0.2">
      <c r="A361" s="251" t="s">
        <v>388</v>
      </c>
      <c r="B361" s="251" t="s">
        <v>95</v>
      </c>
      <c r="C361" s="251" t="s">
        <v>542</v>
      </c>
      <c r="D361" s="251" t="s">
        <v>545</v>
      </c>
      <c r="E361" s="252" t="s">
        <v>16</v>
      </c>
      <c r="F361" s="253" t="s">
        <v>108</v>
      </c>
      <c r="G361" s="267" t="s">
        <v>515</v>
      </c>
      <c r="H361" s="425" t="s">
        <v>546</v>
      </c>
      <c r="I361" s="259">
        <v>4</v>
      </c>
      <c r="J361" s="259">
        <v>62</v>
      </c>
      <c r="K361" s="259">
        <v>36</v>
      </c>
      <c r="L361" s="259">
        <v>38</v>
      </c>
      <c r="M361" s="268">
        <f t="shared" si="200"/>
        <v>140</v>
      </c>
      <c r="N361" s="255">
        <v>4350</v>
      </c>
      <c r="O361" s="255">
        <v>4350</v>
      </c>
      <c r="P361" s="255">
        <v>4402</v>
      </c>
      <c r="Q361" s="255">
        <v>4402</v>
      </c>
      <c r="R361" s="262">
        <f t="shared" si="195"/>
        <v>612848</v>
      </c>
      <c r="S361" s="269">
        <f t="shared" si="202"/>
        <v>17400</v>
      </c>
      <c r="T361" s="269">
        <f t="shared" si="203"/>
        <v>269700</v>
      </c>
      <c r="U361" s="269">
        <f t="shared" si="204"/>
        <v>158472</v>
      </c>
      <c r="V361" s="269">
        <f t="shared" si="205"/>
        <v>167276</v>
      </c>
      <c r="W361" s="262">
        <f t="shared" si="206"/>
        <v>612848</v>
      </c>
      <c r="X361" s="55"/>
      <c r="Y361" s="224"/>
    </row>
    <row r="362" spans="1:26" ht="12.75" hidden="1" outlineLevel="2" x14ac:dyDescent="0.2">
      <c r="A362" s="251" t="s">
        <v>386</v>
      </c>
      <c r="B362" s="251" t="s">
        <v>387</v>
      </c>
      <c r="C362" s="251"/>
      <c r="D362" s="251" t="s">
        <v>547</v>
      </c>
      <c r="E362" s="252" t="s">
        <v>16</v>
      </c>
      <c r="F362" s="253" t="s">
        <v>108</v>
      </c>
      <c r="G362" s="267" t="s">
        <v>515</v>
      </c>
      <c r="H362" s="425" t="s">
        <v>548</v>
      </c>
      <c r="I362" s="259">
        <v>9</v>
      </c>
      <c r="J362" s="259">
        <v>13</v>
      </c>
      <c r="K362" s="259">
        <v>14</v>
      </c>
      <c r="L362" s="259">
        <v>15</v>
      </c>
      <c r="M362" s="268">
        <f t="shared" si="200"/>
        <v>51</v>
      </c>
      <c r="N362" s="255">
        <v>4500</v>
      </c>
      <c r="O362" s="255">
        <v>4500</v>
      </c>
      <c r="P362" s="255">
        <v>4554</v>
      </c>
      <c r="Q362" s="255">
        <v>4554</v>
      </c>
      <c r="R362" s="262">
        <f t="shared" si="195"/>
        <v>231066</v>
      </c>
      <c r="S362" s="269">
        <f t="shared" si="202"/>
        <v>40500</v>
      </c>
      <c r="T362" s="269">
        <f t="shared" si="203"/>
        <v>58500</v>
      </c>
      <c r="U362" s="269">
        <f t="shared" si="204"/>
        <v>63616</v>
      </c>
      <c r="V362" s="269">
        <f t="shared" si="205"/>
        <v>68160</v>
      </c>
      <c r="W362" s="262">
        <f t="shared" si="206"/>
        <v>230776</v>
      </c>
      <c r="X362" s="55"/>
      <c r="Y362" s="224"/>
    </row>
    <row r="363" spans="1:26" ht="12.75" hidden="1" outlineLevel="2" x14ac:dyDescent="0.2">
      <c r="A363" s="251" t="s">
        <v>388</v>
      </c>
      <c r="B363" s="251" t="s">
        <v>95</v>
      </c>
      <c r="C363" s="251" t="s">
        <v>542</v>
      </c>
      <c r="D363" s="251" t="s">
        <v>549</v>
      </c>
      <c r="E363" s="252" t="s">
        <v>16</v>
      </c>
      <c r="F363" s="253" t="s">
        <v>106</v>
      </c>
      <c r="G363" s="267" t="s">
        <v>515</v>
      </c>
      <c r="H363" s="425" t="s">
        <v>550</v>
      </c>
      <c r="I363" s="259">
        <v>37</v>
      </c>
      <c r="J363" s="259">
        <v>80</v>
      </c>
      <c r="K363" s="259">
        <v>98</v>
      </c>
      <c r="L363" s="259">
        <v>168</v>
      </c>
      <c r="M363" s="268">
        <f t="shared" si="200"/>
        <v>383</v>
      </c>
      <c r="N363" s="255">
        <v>4350</v>
      </c>
      <c r="O363" s="255">
        <v>4350</v>
      </c>
      <c r="P363" s="255">
        <v>4402</v>
      </c>
      <c r="Q363" s="255">
        <v>4402</v>
      </c>
      <c r="R363" s="262">
        <f t="shared" si="195"/>
        <v>1679882</v>
      </c>
      <c r="S363" s="269">
        <f t="shared" si="202"/>
        <v>160950</v>
      </c>
      <c r="T363" s="269">
        <f t="shared" si="203"/>
        <v>348000</v>
      </c>
      <c r="U363" s="269">
        <f t="shared" si="204"/>
        <v>431396</v>
      </c>
      <c r="V363" s="269">
        <f t="shared" si="205"/>
        <v>739536</v>
      </c>
      <c r="W363" s="262">
        <f t="shared" si="206"/>
        <v>1679882</v>
      </c>
      <c r="X363" s="55"/>
      <c r="Y363" s="224"/>
    </row>
    <row r="364" spans="1:26" ht="12.75" hidden="1" outlineLevel="2" x14ac:dyDescent="0.2">
      <c r="A364" s="251" t="s">
        <v>388</v>
      </c>
      <c r="B364" s="251" t="s">
        <v>95</v>
      </c>
      <c r="C364" s="251" t="s">
        <v>542</v>
      </c>
      <c r="D364" s="251" t="s">
        <v>551</v>
      </c>
      <c r="E364" s="252" t="s">
        <v>16</v>
      </c>
      <c r="F364" s="253" t="s">
        <v>108</v>
      </c>
      <c r="G364" s="267" t="s">
        <v>515</v>
      </c>
      <c r="H364" s="425" t="s">
        <v>552</v>
      </c>
      <c r="I364" s="259">
        <v>10</v>
      </c>
      <c r="J364" s="259">
        <v>81</v>
      </c>
      <c r="K364" s="259">
        <v>78</v>
      </c>
      <c r="L364" s="259">
        <v>57</v>
      </c>
      <c r="M364" s="268">
        <f t="shared" si="200"/>
        <v>226</v>
      </c>
      <c r="N364" s="255">
        <v>4350</v>
      </c>
      <c r="O364" s="255">
        <v>4350</v>
      </c>
      <c r="P364" s="255">
        <v>4402</v>
      </c>
      <c r="Q364" s="255">
        <v>4402</v>
      </c>
      <c r="R364" s="262">
        <f t="shared" si="195"/>
        <v>990120</v>
      </c>
      <c r="S364" s="269">
        <f t="shared" si="202"/>
        <v>43500</v>
      </c>
      <c r="T364" s="269">
        <f t="shared" si="203"/>
        <v>352350</v>
      </c>
      <c r="U364" s="269">
        <f t="shared" si="204"/>
        <v>343356</v>
      </c>
      <c r="V364" s="269">
        <f t="shared" si="205"/>
        <v>250914</v>
      </c>
      <c r="W364" s="262">
        <f t="shared" si="206"/>
        <v>990120</v>
      </c>
      <c r="X364" s="55"/>
      <c r="Y364" s="224"/>
    </row>
    <row r="365" spans="1:26" ht="12.75" hidden="1" outlineLevel="2" x14ac:dyDescent="0.2">
      <c r="A365" s="251" t="s">
        <v>1</v>
      </c>
      <c r="B365" s="251" t="s">
        <v>379</v>
      </c>
      <c r="C365" s="251" t="s">
        <v>553</v>
      </c>
      <c r="D365" s="251" t="s">
        <v>554</v>
      </c>
      <c r="E365" s="252" t="s">
        <v>291</v>
      </c>
      <c r="F365" s="253" t="s">
        <v>561</v>
      </c>
      <c r="G365" s="267" t="s">
        <v>515</v>
      </c>
      <c r="H365" s="425" t="s">
        <v>555</v>
      </c>
      <c r="I365" s="259">
        <v>60</v>
      </c>
      <c r="J365" s="259">
        <v>66</v>
      </c>
      <c r="K365" s="259">
        <v>77</v>
      </c>
      <c r="L365" s="259">
        <v>127</v>
      </c>
      <c r="M365" s="268">
        <f t="shared" si="200"/>
        <v>330</v>
      </c>
      <c r="N365" s="255">
        <v>3950</v>
      </c>
      <c r="O365" s="255">
        <v>3950</v>
      </c>
      <c r="P365" s="255">
        <v>3950</v>
      </c>
      <c r="Q365" s="255">
        <v>3950</v>
      </c>
      <c r="R365" s="262">
        <f t="shared" si="195"/>
        <v>1303500</v>
      </c>
      <c r="S365" s="269">
        <f t="shared" si="196"/>
        <v>237000</v>
      </c>
      <c r="T365" s="269">
        <f t="shared" si="197"/>
        <v>260700</v>
      </c>
      <c r="U365" s="269">
        <f t="shared" si="198"/>
        <v>304150</v>
      </c>
      <c r="V365" s="269">
        <f t="shared" si="199"/>
        <v>501650</v>
      </c>
      <c r="W365" s="262">
        <f t="shared" si="201"/>
        <v>1303500</v>
      </c>
      <c r="X365" s="55"/>
      <c r="Y365" s="224"/>
    </row>
    <row r="366" spans="1:26" ht="12.75" hidden="1" outlineLevel="2" x14ac:dyDescent="0.2">
      <c r="A366" s="251" t="s">
        <v>1</v>
      </c>
      <c r="B366" s="251" t="s">
        <v>379</v>
      </c>
      <c r="C366" s="251" t="s">
        <v>553</v>
      </c>
      <c r="D366" s="251" t="s">
        <v>556</v>
      </c>
      <c r="E366" s="252" t="s">
        <v>16</v>
      </c>
      <c r="F366" s="253" t="s">
        <v>108</v>
      </c>
      <c r="G366" s="267" t="s">
        <v>515</v>
      </c>
      <c r="H366" s="425" t="s">
        <v>557</v>
      </c>
      <c r="I366" s="259">
        <v>7</v>
      </c>
      <c r="J366" s="259">
        <v>7</v>
      </c>
      <c r="K366" s="259">
        <v>10</v>
      </c>
      <c r="L366" s="259">
        <v>21</v>
      </c>
      <c r="M366" s="268">
        <f t="shared" si="200"/>
        <v>45</v>
      </c>
      <c r="N366" s="255">
        <v>3950</v>
      </c>
      <c r="O366" s="255">
        <v>3950</v>
      </c>
      <c r="P366" s="255">
        <v>3950</v>
      </c>
      <c r="Q366" s="255">
        <v>3950</v>
      </c>
      <c r="R366" s="262">
        <f t="shared" si="195"/>
        <v>177750</v>
      </c>
      <c r="S366" s="269">
        <f t="shared" si="196"/>
        <v>27650</v>
      </c>
      <c r="T366" s="269">
        <f t="shared" si="197"/>
        <v>27650</v>
      </c>
      <c r="U366" s="269">
        <f t="shared" si="198"/>
        <v>39500</v>
      </c>
      <c r="V366" s="269">
        <f t="shared" si="199"/>
        <v>82950</v>
      </c>
      <c r="W366" s="262">
        <f t="shared" si="201"/>
        <v>177750</v>
      </c>
      <c r="X366" s="55"/>
      <c r="Y366" s="224"/>
    </row>
    <row r="367" spans="1:26" ht="11.25" outlineLevel="1" collapsed="1" x14ac:dyDescent="0.2">
      <c r="D367" s="343" t="s">
        <v>650</v>
      </c>
      <c r="F367" s="233"/>
      <c r="G367" s="238" t="s">
        <v>181</v>
      </c>
      <c r="I367" s="31">
        <f>SUBTOTAL(9,I345:I366)</f>
        <v>848</v>
      </c>
      <c r="J367" s="31">
        <f>SUBTOTAL(9,J345:J366)</f>
        <v>2680</v>
      </c>
      <c r="K367" s="31">
        <f>SUBTOTAL(9,K345:K366)</f>
        <v>2657</v>
      </c>
      <c r="L367" s="31">
        <f>SUBTOTAL(9,L345:L366)</f>
        <v>4089</v>
      </c>
      <c r="M367" s="214">
        <f>SUBTOTAL(9,M345:M366)</f>
        <v>10274</v>
      </c>
      <c r="R367" s="57">
        <f t="shared" ref="R367:W367" si="207">SUBTOTAL(9,R345:R366)</f>
        <v>46910204</v>
      </c>
      <c r="S367" s="414">
        <f t="shared" si="207"/>
        <v>3758352</v>
      </c>
      <c r="T367" s="414">
        <f t="shared" si="207"/>
        <v>11852248</v>
      </c>
      <c r="U367" s="414">
        <f t="shared" si="207"/>
        <v>11693722</v>
      </c>
      <c r="V367" s="414">
        <f t="shared" si="207"/>
        <v>17893062</v>
      </c>
      <c r="W367" s="57">
        <f t="shared" si="207"/>
        <v>45197384</v>
      </c>
      <c r="X367" s="55"/>
      <c r="Y367" s="55"/>
      <c r="Z367" s="31">
        <v>192</v>
      </c>
    </row>
    <row r="368" spans="1:26" ht="15.75" outlineLevel="1" x14ac:dyDescent="0.25">
      <c r="D368" s="249"/>
      <c r="G368" s="238"/>
      <c r="J368" s="31"/>
      <c r="K368" s="31"/>
      <c r="L368" s="31"/>
      <c r="M368" s="426"/>
      <c r="S368" s="414" t="e">
        <f>SUBTOTAL(9,#REF!)</f>
        <v>#REF!</v>
      </c>
      <c r="T368" s="414" t="e">
        <f>SUBTOTAL(9,#REF!)</f>
        <v>#REF!</v>
      </c>
      <c r="U368" s="414" t="e">
        <f>SUBTOTAL(9,#REF!)</f>
        <v>#REF!</v>
      </c>
      <c r="V368" s="414"/>
      <c r="W368" s="57"/>
      <c r="X368" s="213"/>
      <c r="Y368" s="367"/>
      <c r="Z368" s="31">
        <v>205</v>
      </c>
    </row>
    <row r="369" spans="1:27" ht="15.75" hidden="1" outlineLevel="2" x14ac:dyDescent="0.25">
      <c r="D369" s="249" t="s">
        <v>184</v>
      </c>
      <c r="F369" s="55" t="s">
        <v>471</v>
      </c>
      <c r="J369" s="31"/>
      <c r="K369" s="31"/>
      <c r="L369" s="31"/>
      <c r="M369" s="426"/>
      <c r="S369" s="414"/>
      <c r="T369" s="414"/>
      <c r="U369" s="414"/>
      <c r="V369" s="414"/>
      <c r="W369" s="57"/>
      <c r="X369" s="213"/>
      <c r="Y369" s="367"/>
      <c r="Z369" s="31">
        <v>206</v>
      </c>
    </row>
    <row r="370" spans="1:27" hidden="1" outlineLevel="2" x14ac:dyDescent="0.15">
      <c r="A370" s="63" t="s">
        <v>388</v>
      </c>
      <c r="B370" s="55" t="s">
        <v>136</v>
      </c>
      <c r="D370" s="55" t="s">
        <v>160</v>
      </c>
      <c r="E370" s="161" t="s">
        <v>16</v>
      </c>
      <c r="G370" s="56" t="s">
        <v>171</v>
      </c>
      <c r="H370" s="417"/>
      <c r="I370" s="306">
        <v>3</v>
      </c>
      <c r="J370" s="306">
        <v>9</v>
      </c>
      <c r="K370" s="31">
        <v>7</v>
      </c>
      <c r="L370" s="31">
        <v>8</v>
      </c>
      <c r="M370" s="214">
        <f t="shared" ref="M370:M396" si="208">SUM(I370:L370)</f>
        <v>27</v>
      </c>
      <c r="N370" s="57">
        <v>4568</v>
      </c>
      <c r="O370" s="57">
        <v>4568</v>
      </c>
      <c r="P370" s="57">
        <v>4568</v>
      </c>
      <c r="Q370" s="57">
        <v>4568</v>
      </c>
      <c r="R370" s="57">
        <f t="shared" ref="R370:R390" si="209">SUMPRODUCT(I370:L370,N370:Q370)</f>
        <v>123336</v>
      </c>
      <c r="S370" s="414">
        <f t="shared" ref="S370:S378" si="210">IF(N370&gt;prisgrense,I370*prisgrense,I370*N370)</f>
        <v>13632</v>
      </c>
      <c r="T370" s="414">
        <f t="shared" ref="T370:T378" si="211">IF(O370&gt;prisgrense,J370*prisgrense,J370*O370)</f>
        <v>40896</v>
      </c>
      <c r="U370" s="414">
        <f t="shared" ref="U370:U378" si="212">IF(P370&gt;prisgrense,K370*prisgrense,K370*P370)</f>
        <v>31808</v>
      </c>
      <c r="V370" s="414">
        <f t="shared" ref="V370:V411" si="213">IF(Q370&gt;prisgrense,L370*prisgrense,L370*Q370)</f>
        <v>36352</v>
      </c>
      <c r="W370" s="57">
        <f t="shared" ref="W370:W396" si="214">SUM(S370:V370)</f>
        <v>122688</v>
      </c>
      <c r="X370" s="213"/>
      <c r="Y370" s="367"/>
      <c r="Z370" s="31">
        <v>212</v>
      </c>
    </row>
    <row r="371" spans="1:27" hidden="1" outlineLevel="2" x14ac:dyDescent="0.15">
      <c r="A371" s="63" t="s">
        <v>388</v>
      </c>
      <c r="B371" s="55" t="s">
        <v>136</v>
      </c>
      <c r="D371" s="55" t="s">
        <v>158</v>
      </c>
      <c r="E371" s="161" t="s">
        <v>16</v>
      </c>
      <c r="G371" s="56" t="s">
        <v>171</v>
      </c>
      <c r="H371" s="417"/>
      <c r="I371" s="306"/>
      <c r="J371" s="306"/>
      <c r="K371" s="31">
        <v>1</v>
      </c>
      <c r="L371" s="31">
        <v>1</v>
      </c>
      <c r="M371" s="214">
        <f t="shared" si="208"/>
        <v>2</v>
      </c>
      <c r="N371" s="57">
        <v>4568</v>
      </c>
      <c r="O371" s="57">
        <v>4568</v>
      </c>
      <c r="P371" s="57">
        <v>4568</v>
      </c>
      <c r="Q371" s="57">
        <v>4568</v>
      </c>
      <c r="R371" s="57">
        <f t="shared" si="209"/>
        <v>9136</v>
      </c>
      <c r="S371" s="414">
        <f t="shared" si="210"/>
        <v>0</v>
      </c>
      <c r="T371" s="414">
        <f t="shared" si="211"/>
        <v>0</v>
      </c>
      <c r="U371" s="414">
        <f t="shared" si="212"/>
        <v>4544</v>
      </c>
      <c r="V371" s="414">
        <f t="shared" si="213"/>
        <v>4544</v>
      </c>
      <c r="W371" s="57">
        <f t="shared" si="214"/>
        <v>9088</v>
      </c>
      <c r="X371" s="213"/>
      <c r="Y371" s="367"/>
      <c r="Z371" s="31">
        <v>213</v>
      </c>
    </row>
    <row r="372" spans="1:27" hidden="1" outlineLevel="2" x14ac:dyDescent="0.15">
      <c r="A372" s="63" t="s">
        <v>388</v>
      </c>
      <c r="B372" s="55" t="s">
        <v>136</v>
      </c>
      <c r="D372" s="55" t="s">
        <v>156</v>
      </c>
      <c r="E372" s="161" t="s">
        <v>17</v>
      </c>
      <c r="F372" s="56" t="s">
        <v>290</v>
      </c>
      <c r="G372" s="56" t="s">
        <v>171</v>
      </c>
      <c r="H372" s="417"/>
      <c r="I372" s="306"/>
      <c r="J372" s="306">
        <v>18</v>
      </c>
      <c r="K372" s="31">
        <v>18</v>
      </c>
      <c r="L372" s="31">
        <v>22</v>
      </c>
      <c r="M372" s="214">
        <f t="shared" si="208"/>
        <v>58</v>
      </c>
      <c r="N372" s="57">
        <v>4568</v>
      </c>
      <c r="O372" s="57">
        <v>4568</v>
      </c>
      <c r="P372" s="57">
        <v>4568</v>
      </c>
      <c r="Q372" s="57">
        <v>4568</v>
      </c>
      <c r="R372" s="57">
        <f t="shared" si="209"/>
        <v>264944</v>
      </c>
      <c r="S372" s="414">
        <f t="shared" si="210"/>
        <v>0</v>
      </c>
      <c r="T372" s="414">
        <f t="shared" si="211"/>
        <v>81792</v>
      </c>
      <c r="U372" s="414">
        <f t="shared" si="212"/>
        <v>81792</v>
      </c>
      <c r="V372" s="414">
        <f t="shared" si="213"/>
        <v>99968</v>
      </c>
      <c r="W372" s="57">
        <f t="shared" si="214"/>
        <v>263552</v>
      </c>
      <c r="X372" s="213"/>
      <c r="Y372" s="367"/>
      <c r="Z372" s="31">
        <v>214</v>
      </c>
    </row>
    <row r="373" spans="1:27" hidden="1" outlineLevel="2" x14ac:dyDescent="0.15">
      <c r="A373" s="63" t="s">
        <v>388</v>
      </c>
      <c r="B373" s="55" t="s">
        <v>136</v>
      </c>
      <c r="D373" s="55" t="s">
        <v>157</v>
      </c>
      <c r="E373" s="161" t="s">
        <v>16</v>
      </c>
      <c r="G373" s="56" t="s">
        <v>171</v>
      </c>
      <c r="H373" s="417"/>
      <c r="I373" s="306">
        <v>8</v>
      </c>
      <c r="J373" s="306"/>
      <c r="K373" s="31">
        <v>2</v>
      </c>
      <c r="L373" s="31"/>
      <c r="M373" s="214">
        <f t="shared" si="208"/>
        <v>10</v>
      </c>
      <c r="N373" s="57">
        <v>4568</v>
      </c>
      <c r="O373" s="57">
        <v>4568</v>
      </c>
      <c r="P373" s="57">
        <v>4568</v>
      </c>
      <c r="Q373" s="57">
        <v>4568</v>
      </c>
      <c r="R373" s="57">
        <f t="shared" si="209"/>
        <v>45680</v>
      </c>
      <c r="S373" s="414">
        <f t="shared" si="210"/>
        <v>36352</v>
      </c>
      <c r="T373" s="414">
        <f t="shared" si="211"/>
        <v>0</v>
      </c>
      <c r="U373" s="414">
        <f t="shared" si="212"/>
        <v>9088</v>
      </c>
      <c r="V373" s="414">
        <f t="shared" si="213"/>
        <v>0</v>
      </c>
      <c r="W373" s="57">
        <f t="shared" si="214"/>
        <v>45440</v>
      </c>
      <c r="X373" s="213"/>
      <c r="Y373" s="367"/>
      <c r="Z373" s="31">
        <v>215</v>
      </c>
    </row>
    <row r="374" spans="1:27" hidden="1" outlineLevel="2" x14ac:dyDescent="0.15">
      <c r="A374" s="63" t="s">
        <v>388</v>
      </c>
      <c r="B374" s="55" t="s">
        <v>21</v>
      </c>
      <c r="D374" s="55" t="s">
        <v>147</v>
      </c>
      <c r="E374" s="161" t="s">
        <v>17</v>
      </c>
      <c r="F374" s="417" t="s">
        <v>290</v>
      </c>
      <c r="G374" s="56" t="s">
        <v>171</v>
      </c>
      <c r="H374" s="417"/>
      <c r="I374" s="306"/>
      <c r="J374" s="306"/>
      <c r="K374" s="31"/>
      <c r="L374" s="213">
        <v>1</v>
      </c>
      <c r="M374" s="214">
        <f t="shared" si="208"/>
        <v>1</v>
      </c>
      <c r="N374" s="57">
        <v>5528</v>
      </c>
      <c r="O374" s="57">
        <v>5528</v>
      </c>
      <c r="P374" s="57">
        <v>5528</v>
      </c>
      <c r="Q374" s="57">
        <v>5528</v>
      </c>
      <c r="R374" s="57">
        <f t="shared" si="209"/>
        <v>5528</v>
      </c>
      <c r="S374" s="414">
        <f t="shared" si="210"/>
        <v>0</v>
      </c>
      <c r="T374" s="414">
        <f t="shared" si="211"/>
        <v>0</v>
      </c>
      <c r="U374" s="414">
        <f t="shared" si="212"/>
        <v>0</v>
      </c>
      <c r="V374" s="414">
        <f t="shared" si="213"/>
        <v>4544</v>
      </c>
      <c r="W374" s="57">
        <f t="shared" si="214"/>
        <v>4544</v>
      </c>
      <c r="Z374" s="31">
        <v>219</v>
      </c>
    </row>
    <row r="375" spans="1:27" hidden="1" outlineLevel="2" x14ac:dyDescent="0.15">
      <c r="A375" s="63" t="s">
        <v>388</v>
      </c>
      <c r="B375" s="55" t="s">
        <v>136</v>
      </c>
      <c r="D375" s="55" t="s">
        <v>144</v>
      </c>
      <c r="E375" s="161" t="s">
        <v>17</v>
      </c>
      <c r="F375" s="56" t="s">
        <v>290</v>
      </c>
      <c r="G375" s="56" t="s">
        <v>171</v>
      </c>
      <c r="I375" s="306"/>
      <c r="J375" s="306">
        <v>1</v>
      </c>
      <c r="K375" s="31"/>
      <c r="L375" s="31"/>
      <c r="M375" s="214">
        <f t="shared" si="208"/>
        <v>1</v>
      </c>
      <c r="N375" s="57">
        <v>5208</v>
      </c>
      <c r="O375" s="57">
        <v>5208</v>
      </c>
      <c r="P375" s="57">
        <v>5208</v>
      </c>
      <c r="Q375" s="57">
        <v>5208</v>
      </c>
      <c r="R375" s="57">
        <f t="shared" si="209"/>
        <v>5208</v>
      </c>
      <c r="S375" s="414">
        <f t="shared" si="210"/>
        <v>0</v>
      </c>
      <c r="T375" s="414">
        <f t="shared" si="211"/>
        <v>4544</v>
      </c>
      <c r="U375" s="414">
        <f t="shared" si="212"/>
        <v>0</v>
      </c>
      <c r="V375" s="414">
        <f t="shared" si="213"/>
        <v>0</v>
      </c>
      <c r="W375" s="57">
        <f t="shared" si="214"/>
        <v>4544</v>
      </c>
      <c r="X375" s="213"/>
      <c r="Y375" s="367"/>
      <c r="Z375" s="31">
        <v>220</v>
      </c>
    </row>
    <row r="376" spans="1:27" hidden="1" outlineLevel="2" x14ac:dyDescent="0.15">
      <c r="A376" s="63" t="s">
        <v>388</v>
      </c>
      <c r="B376" s="55" t="s">
        <v>136</v>
      </c>
      <c r="D376" s="55" t="s">
        <v>145</v>
      </c>
      <c r="E376" s="161" t="s">
        <v>16</v>
      </c>
      <c r="G376" s="56" t="s">
        <v>171</v>
      </c>
      <c r="I376" s="306">
        <v>2</v>
      </c>
      <c r="J376" s="306"/>
      <c r="K376" s="31">
        <v>1</v>
      </c>
      <c r="L376" s="31">
        <v>1</v>
      </c>
      <c r="M376" s="214">
        <f t="shared" si="208"/>
        <v>4</v>
      </c>
      <c r="N376" s="57">
        <v>5208</v>
      </c>
      <c r="O376" s="57">
        <v>5208</v>
      </c>
      <c r="P376" s="57">
        <v>5208</v>
      </c>
      <c r="Q376" s="57">
        <v>5208</v>
      </c>
      <c r="R376" s="57">
        <f t="shared" si="209"/>
        <v>20832</v>
      </c>
      <c r="S376" s="414">
        <f t="shared" si="210"/>
        <v>9088</v>
      </c>
      <c r="T376" s="414">
        <f t="shared" si="211"/>
        <v>0</v>
      </c>
      <c r="U376" s="414">
        <f t="shared" si="212"/>
        <v>4544</v>
      </c>
      <c r="V376" s="414">
        <f t="shared" si="213"/>
        <v>4544</v>
      </c>
      <c r="W376" s="57">
        <f t="shared" si="214"/>
        <v>18176</v>
      </c>
      <c r="X376" s="213"/>
      <c r="Y376" s="367"/>
      <c r="Z376" s="31">
        <v>221</v>
      </c>
    </row>
    <row r="377" spans="1:27" hidden="1" outlineLevel="2" x14ac:dyDescent="0.15">
      <c r="A377" s="63" t="s">
        <v>388</v>
      </c>
      <c r="B377" s="55" t="s">
        <v>136</v>
      </c>
      <c r="D377" s="427" t="s">
        <v>43</v>
      </c>
      <c r="E377" s="161" t="s">
        <v>16</v>
      </c>
      <c r="G377" s="56" t="s">
        <v>171</v>
      </c>
      <c r="I377" s="306">
        <v>1</v>
      </c>
      <c r="J377" s="306"/>
      <c r="K377" s="31">
        <v>5</v>
      </c>
      <c r="L377" s="31">
        <v>1</v>
      </c>
      <c r="M377" s="214">
        <f t="shared" si="208"/>
        <v>7</v>
      </c>
      <c r="N377" s="57">
        <v>2740</v>
      </c>
      <c r="O377" s="57">
        <v>2740</v>
      </c>
      <c r="P377" s="57">
        <v>2740</v>
      </c>
      <c r="Q377" s="57">
        <v>2740</v>
      </c>
      <c r="R377" s="57">
        <f t="shared" si="209"/>
        <v>19180</v>
      </c>
      <c r="S377" s="414">
        <f t="shared" si="210"/>
        <v>2740</v>
      </c>
      <c r="T377" s="414">
        <f t="shared" si="211"/>
        <v>0</v>
      </c>
      <c r="U377" s="414">
        <f t="shared" si="212"/>
        <v>13700</v>
      </c>
      <c r="V377" s="414">
        <f t="shared" si="213"/>
        <v>2740</v>
      </c>
      <c r="W377" s="57">
        <f t="shared" si="214"/>
        <v>19180</v>
      </c>
      <c r="X377" s="213"/>
      <c r="Y377" s="367"/>
      <c r="Z377" s="31">
        <v>222</v>
      </c>
    </row>
    <row r="378" spans="1:27" hidden="1" outlineLevel="2" x14ac:dyDescent="0.15">
      <c r="A378" s="63" t="s">
        <v>388</v>
      </c>
      <c r="B378" s="55" t="s">
        <v>136</v>
      </c>
      <c r="D378" s="55" t="s">
        <v>146</v>
      </c>
      <c r="E378" s="161" t="s">
        <v>16</v>
      </c>
      <c r="G378" s="56" t="s">
        <v>171</v>
      </c>
      <c r="I378" s="306">
        <v>2</v>
      </c>
      <c r="J378" s="306"/>
      <c r="K378" s="31"/>
      <c r="L378" s="213"/>
      <c r="M378" s="214">
        <f t="shared" si="208"/>
        <v>2</v>
      </c>
      <c r="N378" s="57">
        <v>4568</v>
      </c>
      <c r="O378" s="57">
        <v>4568</v>
      </c>
      <c r="P378" s="57">
        <v>4568</v>
      </c>
      <c r="Q378" s="57">
        <v>4568</v>
      </c>
      <c r="R378" s="57">
        <f t="shared" si="209"/>
        <v>9136</v>
      </c>
      <c r="S378" s="414">
        <f t="shared" si="210"/>
        <v>9088</v>
      </c>
      <c r="T378" s="414">
        <f t="shared" si="211"/>
        <v>0</v>
      </c>
      <c r="U378" s="414">
        <f t="shared" si="212"/>
        <v>0</v>
      </c>
      <c r="V378" s="414">
        <f t="shared" si="213"/>
        <v>0</v>
      </c>
      <c r="W378" s="57">
        <f t="shared" si="214"/>
        <v>9088</v>
      </c>
      <c r="X378" s="213"/>
      <c r="Y378" s="367"/>
      <c r="Z378" s="31">
        <v>225</v>
      </c>
    </row>
    <row r="379" spans="1:27" hidden="1" outlineLevel="2" x14ac:dyDescent="0.15">
      <c r="A379" s="63" t="s">
        <v>388</v>
      </c>
      <c r="B379" s="55" t="s">
        <v>136</v>
      </c>
      <c r="D379" s="55" t="s">
        <v>162</v>
      </c>
      <c r="E379" s="161" t="s">
        <v>16</v>
      </c>
      <c r="G379" s="56" t="s">
        <v>171</v>
      </c>
      <c r="I379" s="306"/>
      <c r="J379" s="306">
        <v>4</v>
      </c>
      <c r="K379" s="31"/>
      <c r="L379" s="31"/>
      <c r="M379" s="214">
        <f t="shared" si="208"/>
        <v>4</v>
      </c>
      <c r="N379" s="57">
        <v>2645</v>
      </c>
      <c r="O379" s="57">
        <v>2645</v>
      </c>
      <c r="P379" s="57">
        <v>2645</v>
      </c>
      <c r="Q379" s="57">
        <v>2645</v>
      </c>
      <c r="R379" s="57">
        <f t="shared" si="209"/>
        <v>10580</v>
      </c>
      <c r="S379" s="414">
        <f t="shared" ref="S379:S382" si="215">IF(N379&gt;prisgrense,I379*prisgrense,I379*N379)</f>
        <v>0</v>
      </c>
      <c r="T379" s="414">
        <f t="shared" ref="T379:T382" si="216">IF(O379&gt;prisgrense,J379*prisgrense,J379*O379)</f>
        <v>10580</v>
      </c>
      <c r="U379" s="414">
        <f t="shared" ref="U379:U399" si="217">IF(P379&gt;prisgrense,K379*prisgrense,K379*P379)</f>
        <v>0</v>
      </c>
      <c r="V379" s="414">
        <f t="shared" si="213"/>
        <v>0</v>
      </c>
      <c r="W379" s="57">
        <f t="shared" si="214"/>
        <v>10580</v>
      </c>
      <c r="X379" s="57" t="s">
        <v>479</v>
      </c>
      <c r="Y379" s="31"/>
      <c r="AA379" s="232"/>
    </row>
    <row r="380" spans="1:27" hidden="1" outlineLevel="2" x14ac:dyDescent="0.15">
      <c r="A380" s="63" t="s">
        <v>388</v>
      </c>
      <c r="B380" s="55" t="s">
        <v>136</v>
      </c>
      <c r="D380" s="55" t="s">
        <v>472</v>
      </c>
      <c r="E380" s="161" t="s">
        <v>16</v>
      </c>
      <c r="G380" s="56" t="s">
        <v>171</v>
      </c>
      <c r="I380" s="306"/>
      <c r="J380" s="306">
        <v>1</v>
      </c>
      <c r="K380" s="31">
        <v>4</v>
      </c>
      <c r="L380" s="31">
        <v>3</v>
      </c>
      <c r="M380" s="214">
        <f t="shared" si="208"/>
        <v>8</v>
      </c>
      <c r="N380" s="57">
        <v>5000</v>
      </c>
      <c r="O380" s="57">
        <v>5000</v>
      </c>
      <c r="P380" s="57">
        <v>5000</v>
      </c>
      <c r="Q380" s="57">
        <v>5000</v>
      </c>
      <c r="R380" s="57">
        <f t="shared" si="209"/>
        <v>40000</v>
      </c>
      <c r="S380" s="414">
        <f t="shared" si="215"/>
        <v>0</v>
      </c>
      <c r="T380" s="414">
        <f t="shared" si="216"/>
        <v>4544</v>
      </c>
      <c r="U380" s="414">
        <f t="shared" si="217"/>
        <v>18176</v>
      </c>
      <c r="V380" s="414">
        <f t="shared" si="213"/>
        <v>13632</v>
      </c>
      <c r="W380" s="57">
        <f t="shared" ref="W380:W388" si="218">SUM(S380:V380)</f>
        <v>36352</v>
      </c>
      <c r="X380" s="57" t="s">
        <v>479</v>
      </c>
      <c r="Y380" s="31" t="s">
        <v>573</v>
      </c>
      <c r="AA380" s="232"/>
    </row>
    <row r="381" spans="1:27" hidden="1" outlineLevel="2" x14ac:dyDescent="0.15">
      <c r="A381" s="63" t="s">
        <v>388</v>
      </c>
      <c r="B381" s="55" t="s">
        <v>136</v>
      </c>
      <c r="D381" s="55" t="s">
        <v>159</v>
      </c>
      <c r="E381" s="161" t="s">
        <v>16</v>
      </c>
      <c r="G381" s="56" t="s">
        <v>171</v>
      </c>
      <c r="I381" s="306">
        <v>5</v>
      </c>
      <c r="J381" s="306">
        <v>6</v>
      </c>
      <c r="K381" s="31">
        <v>2</v>
      </c>
      <c r="L381" s="31">
        <v>8</v>
      </c>
      <c r="M381" s="214">
        <f t="shared" si="208"/>
        <v>21</v>
      </c>
      <c r="N381" s="57">
        <v>2442</v>
      </c>
      <c r="O381" s="57">
        <v>2442</v>
      </c>
      <c r="P381" s="57">
        <v>2442</v>
      </c>
      <c r="Q381" s="57">
        <v>2442</v>
      </c>
      <c r="R381" s="57">
        <f t="shared" si="209"/>
        <v>51282</v>
      </c>
      <c r="S381" s="414">
        <f t="shared" si="215"/>
        <v>12210</v>
      </c>
      <c r="T381" s="414">
        <f t="shared" si="216"/>
        <v>14652</v>
      </c>
      <c r="U381" s="414">
        <f t="shared" si="217"/>
        <v>4884</v>
      </c>
      <c r="V381" s="414">
        <f t="shared" si="213"/>
        <v>19536</v>
      </c>
      <c r="W381" s="57">
        <f t="shared" si="218"/>
        <v>51282</v>
      </c>
      <c r="X381" s="57" t="s">
        <v>479</v>
      </c>
      <c r="Y381" s="31"/>
      <c r="AA381" s="232"/>
    </row>
    <row r="382" spans="1:27" hidden="1" outlineLevel="2" x14ac:dyDescent="0.15">
      <c r="A382" s="63" t="s">
        <v>388</v>
      </c>
      <c r="B382" s="55" t="s">
        <v>136</v>
      </c>
      <c r="D382" s="55" t="s">
        <v>161</v>
      </c>
      <c r="E382" s="161" t="s">
        <v>16</v>
      </c>
      <c r="G382" s="56" t="s">
        <v>171</v>
      </c>
      <c r="I382" s="306">
        <v>19</v>
      </c>
      <c r="J382" s="306">
        <v>17</v>
      </c>
      <c r="K382" s="31">
        <v>14</v>
      </c>
      <c r="L382" s="31">
        <v>7</v>
      </c>
      <c r="M382" s="214">
        <f t="shared" si="208"/>
        <v>57</v>
      </c>
      <c r="N382" s="57">
        <v>2645</v>
      </c>
      <c r="O382" s="57">
        <v>2645</v>
      </c>
      <c r="P382" s="57">
        <v>2645</v>
      </c>
      <c r="Q382" s="57">
        <v>2645</v>
      </c>
      <c r="R382" s="57">
        <f t="shared" si="209"/>
        <v>150765</v>
      </c>
      <c r="S382" s="414">
        <f t="shared" si="215"/>
        <v>50255</v>
      </c>
      <c r="T382" s="414">
        <f t="shared" si="216"/>
        <v>44965</v>
      </c>
      <c r="U382" s="414">
        <f t="shared" si="217"/>
        <v>37030</v>
      </c>
      <c r="V382" s="414">
        <f t="shared" si="213"/>
        <v>18515</v>
      </c>
      <c r="W382" s="57">
        <f t="shared" si="218"/>
        <v>150765</v>
      </c>
      <c r="X382" s="57" t="s">
        <v>479</v>
      </c>
      <c r="Y382" s="31"/>
      <c r="AA382" s="232"/>
    </row>
    <row r="383" spans="1:27" hidden="1" outlineLevel="2" x14ac:dyDescent="0.15">
      <c r="A383" s="63" t="s">
        <v>388</v>
      </c>
      <c r="B383" s="55" t="s">
        <v>136</v>
      </c>
      <c r="D383" s="55" t="s">
        <v>473</v>
      </c>
      <c r="E383" s="161" t="s">
        <v>17</v>
      </c>
      <c r="F383" s="56" t="s">
        <v>290</v>
      </c>
      <c r="G383" s="56" t="s">
        <v>171</v>
      </c>
      <c r="I383" s="306"/>
      <c r="J383" s="306">
        <v>2</v>
      </c>
      <c r="K383" s="31"/>
      <c r="L383" s="31"/>
      <c r="M383" s="214">
        <f t="shared" si="208"/>
        <v>2</v>
      </c>
      <c r="N383" s="57">
        <v>4651</v>
      </c>
      <c r="O383" s="57">
        <v>4651</v>
      </c>
      <c r="P383" s="57">
        <v>4651</v>
      </c>
      <c r="Q383" s="57">
        <v>4651</v>
      </c>
      <c r="R383" s="57">
        <f t="shared" si="209"/>
        <v>9302</v>
      </c>
      <c r="S383" s="414">
        <f t="shared" ref="S383:T385" si="219">IF(N383&gt;prisgrense,I383*prisgrense,I383*N383)</f>
        <v>0</v>
      </c>
      <c r="T383" s="414">
        <f t="shared" si="219"/>
        <v>9088</v>
      </c>
      <c r="U383" s="414">
        <f t="shared" si="217"/>
        <v>0</v>
      </c>
      <c r="V383" s="414">
        <f t="shared" si="213"/>
        <v>0</v>
      </c>
      <c r="W383" s="57">
        <f t="shared" si="218"/>
        <v>9088</v>
      </c>
      <c r="X383" s="57" t="s">
        <v>479</v>
      </c>
      <c r="Y383" s="31"/>
      <c r="AA383" s="232"/>
    </row>
    <row r="384" spans="1:27" hidden="1" outlineLevel="2" x14ac:dyDescent="0.15">
      <c r="A384" s="63" t="s">
        <v>388</v>
      </c>
      <c r="B384" s="55" t="s">
        <v>136</v>
      </c>
      <c r="D384" s="55" t="s">
        <v>474</v>
      </c>
      <c r="E384" s="161" t="s">
        <v>16</v>
      </c>
      <c r="G384" s="56" t="s">
        <v>171</v>
      </c>
      <c r="I384" s="306"/>
      <c r="J384" s="306"/>
      <c r="K384" s="31">
        <v>1</v>
      </c>
      <c r="L384" s="31"/>
      <c r="M384" s="214">
        <f t="shared" si="208"/>
        <v>1</v>
      </c>
      <c r="N384" s="57">
        <v>4651</v>
      </c>
      <c r="O384" s="57">
        <v>4651</v>
      </c>
      <c r="P384" s="57">
        <v>4651</v>
      </c>
      <c r="Q384" s="57">
        <v>4651</v>
      </c>
      <c r="R384" s="57">
        <f t="shared" si="209"/>
        <v>4651</v>
      </c>
      <c r="S384" s="414">
        <f t="shared" si="219"/>
        <v>0</v>
      </c>
      <c r="T384" s="414">
        <f t="shared" si="219"/>
        <v>0</v>
      </c>
      <c r="U384" s="414">
        <f t="shared" si="217"/>
        <v>4544</v>
      </c>
      <c r="V384" s="414">
        <f t="shared" si="213"/>
        <v>0</v>
      </c>
      <c r="W384" s="57">
        <f t="shared" si="218"/>
        <v>4544</v>
      </c>
      <c r="X384" s="57" t="s">
        <v>479</v>
      </c>
      <c r="Y384" s="31"/>
      <c r="AA384" s="232"/>
    </row>
    <row r="385" spans="1:27" hidden="1" outlineLevel="2" x14ac:dyDescent="0.15">
      <c r="A385" s="63" t="s">
        <v>388</v>
      </c>
      <c r="B385" s="55" t="s">
        <v>136</v>
      </c>
      <c r="D385" s="55" t="s">
        <v>475</v>
      </c>
      <c r="E385" s="161" t="s">
        <v>16</v>
      </c>
      <c r="G385" s="56" t="s">
        <v>171</v>
      </c>
      <c r="I385" s="306"/>
      <c r="J385" s="306">
        <v>1</v>
      </c>
      <c r="K385" s="31">
        <v>1</v>
      </c>
      <c r="L385" s="31">
        <v>1</v>
      </c>
      <c r="M385" s="214">
        <f t="shared" si="208"/>
        <v>3</v>
      </c>
      <c r="N385" s="57">
        <v>4651</v>
      </c>
      <c r="O385" s="57">
        <v>4651</v>
      </c>
      <c r="P385" s="57">
        <v>4651</v>
      </c>
      <c r="Q385" s="57">
        <v>4651</v>
      </c>
      <c r="R385" s="57">
        <f t="shared" si="209"/>
        <v>13953</v>
      </c>
      <c r="S385" s="414">
        <f t="shared" si="219"/>
        <v>0</v>
      </c>
      <c r="T385" s="414">
        <f t="shared" si="219"/>
        <v>4544</v>
      </c>
      <c r="U385" s="414">
        <f t="shared" si="217"/>
        <v>4544</v>
      </c>
      <c r="V385" s="414">
        <f t="shared" si="213"/>
        <v>4544</v>
      </c>
      <c r="W385" s="57">
        <f t="shared" si="218"/>
        <v>13632</v>
      </c>
      <c r="X385" s="57" t="s">
        <v>479</v>
      </c>
      <c r="Y385" s="31"/>
      <c r="AA385" s="232"/>
    </row>
    <row r="386" spans="1:27" hidden="1" outlineLevel="2" x14ac:dyDescent="0.15">
      <c r="A386" s="63" t="s">
        <v>388</v>
      </c>
      <c r="B386" s="55" t="s">
        <v>136</v>
      </c>
      <c r="D386" s="55" t="s">
        <v>476</v>
      </c>
      <c r="E386" s="161" t="s">
        <v>16</v>
      </c>
      <c r="G386" s="56" t="s">
        <v>171</v>
      </c>
      <c r="I386" s="306">
        <v>6</v>
      </c>
      <c r="J386" s="306">
        <v>11</v>
      </c>
      <c r="K386" s="31">
        <v>13</v>
      </c>
      <c r="L386" s="31">
        <v>3</v>
      </c>
      <c r="M386" s="214">
        <f t="shared" si="208"/>
        <v>33</v>
      </c>
      <c r="N386" s="57">
        <v>4605.4964539007087</v>
      </c>
      <c r="O386" s="57">
        <v>4605.4964539007087</v>
      </c>
      <c r="P386" s="57">
        <v>4605.4964539007087</v>
      </c>
      <c r="Q386" s="57">
        <v>4605.4964539007087</v>
      </c>
      <c r="R386" s="57">
        <f t="shared" si="209"/>
        <v>151981.38297872338</v>
      </c>
      <c r="S386" s="414">
        <f t="shared" ref="S386:S388" si="220">IF(N386&gt;prisgrense,I386*prisgrense,I386*N386)</f>
        <v>27264</v>
      </c>
      <c r="T386" s="414">
        <f t="shared" ref="T386:T388" si="221">IF(O386&gt;prisgrense,J386*prisgrense,J386*O386)</f>
        <v>49984</v>
      </c>
      <c r="U386" s="414">
        <f t="shared" si="217"/>
        <v>59072</v>
      </c>
      <c r="V386" s="414">
        <f t="shared" si="213"/>
        <v>13632</v>
      </c>
      <c r="W386" s="57">
        <f t="shared" si="218"/>
        <v>149952</v>
      </c>
      <c r="X386" s="57" t="s">
        <v>479</v>
      </c>
      <c r="Y386" s="31"/>
      <c r="AA386" s="232"/>
    </row>
    <row r="387" spans="1:27" hidden="1" outlineLevel="2" x14ac:dyDescent="0.15">
      <c r="A387" s="63" t="s">
        <v>388</v>
      </c>
      <c r="B387" s="55" t="s">
        <v>136</v>
      </c>
      <c r="D387" s="55" t="s">
        <v>477</v>
      </c>
      <c r="E387" s="161" t="s">
        <v>16</v>
      </c>
      <c r="G387" s="56" t="s">
        <v>171</v>
      </c>
      <c r="I387" s="306">
        <v>8</v>
      </c>
      <c r="J387" s="306">
        <v>4</v>
      </c>
      <c r="K387" s="31">
        <v>5</v>
      </c>
      <c r="L387" s="31">
        <v>6</v>
      </c>
      <c r="M387" s="214">
        <f t="shared" si="208"/>
        <v>23</v>
      </c>
      <c r="N387" s="57">
        <v>4605.4964539007087</v>
      </c>
      <c r="O387" s="57">
        <v>4605.4964539007087</v>
      </c>
      <c r="P387" s="57">
        <v>4605.4964539007087</v>
      </c>
      <c r="Q387" s="57">
        <v>4605.4964539007087</v>
      </c>
      <c r="R387" s="57">
        <f t="shared" si="209"/>
        <v>105926.4184397163</v>
      </c>
      <c r="S387" s="414">
        <f t="shared" si="220"/>
        <v>36352</v>
      </c>
      <c r="T387" s="414">
        <f t="shared" si="221"/>
        <v>18176</v>
      </c>
      <c r="U387" s="414">
        <f t="shared" si="217"/>
        <v>22720</v>
      </c>
      <c r="V387" s="414">
        <f t="shared" si="213"/>
        <v>27264</v>
      </c>
      <c r="W387" s="57">
        <f t="shared" si="218"/>
        <v>104512</v>
      </c>
      <c r="X387" s="57" t="s">
        <v>479</v>
      </c>
      <c r="Y387" s="31"/>
      <c r="AA387" s="232"/>
    </row>
    <row r="388" spans="1:27" hidden="1" outlineLevel="2" x14ac:dyDescent="0.15">
      <c r="A388" s="63" t="s">
        <v>388</v>
      </c>
      <c r="B388" s="55" t="s">
        <v>136</v>
      </c>
      <c r="D388" s="55" t="s">
        <v>478</v>
      </c>
      <c r="E388" s="161" t="s">
        <v>16</v>
      </c>
      <c r="G388" s="56" t="s">
        <v>171</v>
      </c>
      <c r="I388" s="306">
        <v>8</v>
      </c>
      <c r="J388" s="306">
        <v>14</v>
      </c>
      <c r="K388" s="31">
        <v>8</v>
      </c>
      <c r="L388" s="31">
        <v>8</v>
      </c>
      <c r="M388" s="214">
        <f t="shared" si="208"/>
        <v>38</v>
      </c>
      <c r="N388" s="57">
        <v>4605.4964539007087</v>
      </c>
      <c r="O388" s="57">
        <v>4605.4964539007087</v>
      </c>
      <c r="P388" s="57">
        <v>4605.4964539007087</v>
      </c>
      <c r="Q388" s="57">
        <v>4605.4964539007087</v>
      </c>
      <c r="R388" s="57">
        <f t="shared" si="209"/>
        <v>175008.86524822694</v>
      </c>
      <c r="S388" s="414">
        <f t="shared" si="220"/>
        <v>36352</v>
      </c>
      <c r="T388" s="414">
        <f t="shared" si="221"/>
        <v>63616</v>
      </c>
      <c r="U388" s="414">
        <f t="shared" si="217"/>
        <v>36352</v>
      </c>
      <c r="V388" s="414">
        <f t="shared" si="213"/>
        <v>36352</v>
      </c>
      <c r="W388" s="57">
        <f t="shared" si="218"/>
        <v>172672</v>
      </c>
      <c r="X388" s="57" t="s">
        <v>479</v>
      </c>
      <c r="Y388" s="31"/>
      <c r="AA388" s="232"/>
    </row>
    <row r="389" spans="1:27" hidden="1" outlineLevel="2" x14ac:dyDescent="0.15">
      <c r="A389" s="63" t="s">
        <v>1</v>
      </c>
      <c r="B389" s="55" t="s">
        <v>22</v>
      </c>
      <c r="D389" s="55" t="s">
        <v>52</v>
      </c>
      <c r="E389" s="161" t="s">
        <v>16</v>
      </c>
      <c r="F389" s="233"/>
      <c r="G389" s="56" t="s">
        <v>171</v>
      </c>
      <c r="H389" s="233"/>
      <c r="I389" s="306"/>
      <c r="J389" s="31">
        <v>1</v>
      </c>
      <c r="K389" s="31"/>
      <c r="L389" s="31"/>
      <c r="M389" s="214">
        <f t="shared" si="208"/>
        <v>1</v>
      </c>
      <c r="N389" s="57">
        <v>4492</v>
      </c>
      <c r="O389" s="57">
        <v>4492</v>
      </c>
      <c r="P389" s="57">
        <v>4492</v>
      </c>
      <c r="Q389" s="57">
        <v>4492</v>
      </c>
      <c r="R389" s="57">
        <f t="shared" si="209"/>
        <v>4492</v>
      </c>
      <c r="S389" s="414">
        <f t="shared" ref="S389:S414" si="222">IF(N389&gt;prisgrense,I389*prisgrense,I389*N389)</f>
        <v>0</v>
      </c>
      <c r="T389" s="414">
        <f t="shared" ref="T389:T414" si="223">IF(O389&gt;prisgrense,J389*prisgrense,J389*O389)</f>
        <v>4492</v>
      </c>
      <c r="U389" s="414">
        <f t="shared" si="217"/>
        <v>0</v>
      </c>
      <c r="V389" s="414">
        <f t="shared" si="213"/>
        <v>0</v>
      </c>
      <c r="W389" s="57">
        <f t="shared" si="214"/>
        <v>4492</v>
      </c>
      <c r="X389" s="55"/>
      <c r="Y389" s="224"/>
      <c r="Z389" s="31">
        <v>237</v>
      </c>
    </row>
    <row r="390" spans="1:27" hidden="1" outlineLevel="2" x14ac:dyDescent="0.15">
      <c r="A390" s="63" t="s">
        <v>1</v>
      </c>
      <c r="B390" s="55" t="s">
        <v>22</v>
      </c>
      <c r="D390" s="55" t="s">
        <v>40</v>
      </c>
      <c r="E390" s="161" t="s">
        <v>16</v>
      </c>
      <c r="F390" s="233"/>
      <c r="G390" s="56" t="s">
        <v>171</v>
      </c>
      <c r="H390" s="233"/>
      <c r="I390" s="306"/>
      <c r="J390" s="31">
        <v>1</v>
      </c>
      <c r="K390" s="31"/>
      <c r="L390" s="31"/>
      <c r="M390" s="214">
        <f t="shared" si="208"/>
        <v>1</v>
      </c>
      <c r="N390" s="57">
        <v>4360</v>
      </c>
      <c r="O390" s="57">
        <v>4360</v>
      </c>
      <c r="P390" s="57">
        <v>4360</v>
      </c>
      <c r="Q390" s="57">
        <v>4360</v>
      </c>
      <c r="R390" s="57">
        <f t="shared" si="209"/>
        <v>4360</v>
      </c>
      <c r="S390" s="414">
        <f t="shared" si="222"/>
        <v>0</v>
      </c>
      <c r="T390" s="414">
        <f t="shared" si="223"/>
        <v>4360</v>
      </c>
      <c r="U390" s="414">
        <f t="shared" si="217"/>
        <v>0</v>
      </c>
      <c r="V390" s="414">
        <f t="shared" si="213"/>
        <v>0</v>
      </c>
      <c r="W390" s="57">
        <f t="shared" si="214"/>
        <v>4360</v>
      </c>
      <c r="X390" s="55"/>
      <c r="Y390" s="224"/>
      <c r="Z390" s="31">
        <v>250</v>
      </c>
    </row>
    <row r="391" spans="1:27" hidden="1" outlineLevel="2" x14ac:dyDescent="0.15">
      <c r="A391" s="63" t="s">
        <v>1</v>
      </c>
      <c r="B391" s="55" t="s">
        <v>22</v>
      </c>
      <c r="D391" s="55" t="s">
        <v>482</v>
      </c>
      <c r="E391" s="161" t="s">
        <v>16</v>
      </c>
      <c r="F391" s="233"/>
      <c r="G391" s="56" t="s">
        <v>171</v>
      </c>
      <c r="H391" s="233"/>
      <c r="I391" s="428">
        <v>2</v>
      </c>
      <c r="J391" s="31"/>
      <c r="K391" s="31"/>
      <c r="L391" s="31"/>
      <c r="M391" s="214">
        <f t="shared" si="208"/>
        <v>2</v>
      </c>
      <c r="N391" s="57">
        <v>2600</v>
      </c>
      <c r="O391" s="57">
        <v>2600</v>
      </c>
      <c r="P391" s="57">
        <v>2600</v>
      </c>
      <c r="Q391" s="57">
        <v>2600</v>
      </c>
      <c r="R391" s="57">
        <f t="shared" ref="R391:R411" si="224">SUMPRODUCT(I391:L391,N391:Q391)</f>
        <v>5200</v>
      </c>
      <c r="S391" s="414">
        <f t="shared" si="222"/>
        <v>5200</v>
      </c>
      <c r="T391" s="414">
        <f t="shared" si="223"/>
        <v>0</v>
      </c>
      <c r="U391" s="414">
        <f t="shared" si="217"/>
        <v>0</v>
      </c>
      <c r="V391" s="414">
        <f t="shared" si="213"/>
        <v>0</v>
      </c>
      <c r="W391" s="57">
        <f t="shared" ref="W391:W394" si="225">SUM(S391:V391)</f>
        <v>5200</v>
      </c>
      <c r="X391" s="55"/>
      <c r="Y391" s="224"/>
    </row>
    <row r="392" spans="1:27" hidden="1" outlineLevel="2" x14ac:dyDescent="0.15">
      <c r="A392" s="63" t="s">
        <v>1</v>
      </c>
      <c r="D392" s="55" t="s">
        <v>483</v>
      </c>
      <c r="E392" s="161" t="s">
        <v>16</v>
      </c>
      <c r="F392" s="233"/>
      <c r="G392" s="56" t="s">
        <v>171</v>
      </c>
      <c r="H392" s="233"/>
      <c r="I392" s="428">
        <v>2</v>
      </c>
      <c r="J392" s="31">
        <v>5</v>
      </c>
      <c r="K392" s="31"/>
      <c r="L392" s="31"/>
      <c r="M392" s="214">
        <f t="shared" si="208"/>
        <v>7</v>
      </c>
      <c r="N392" s="57">
        <v>2600</v>
      </c>
      <c r="O392" s="57">
        <v>2600</v>
      </c>
      <c r="P392" s="57">
        <v>2600</v>
      </c>
      <c r="Q392" s="57">
        <v>2600</v>
      </c>
      <c r="R392" s="57">
        <f t="shared" si="224"/>
        <v>18200</v>
      </c>
      <c r="S392" s="414">
        <f t="shared" si="222"/>
        <v>5200</v>
      </c>
      <c r="T392" s="414">
        <f t="shared" si="223"/>
        <v>13000</v>
      </c>
      <c r="U392" s="414">
        <f t="shared" si="217"/>
        <v>0</v>
      </c>
      <c r="V392" s="414">
        <f t="shared" si="213"/>
        <v>0</v>
      </c>
      <c r="W392" s="57">
        <f t="shared" si="225"/>
        <v>18200</v>
      </c>
      <c r="X392" s="55"/>
      <c r="Y392" s="224"/>
    </row>
    <row r="393" spans="1:27" hidden="1" outlineLevel="2" x14ac:dyDescent="0.15">
      <c r="A393" s="63" t="s">
        <v>1</v>
      </c>
      <c r="B393" s="55" t="s">
        <v>22</v>
      </c>
      <c r="D393" s="55" t="s">
        <v>484</v>
      </c>
      <c r="E393" s="161" t="s">
        <v>16</v>
      </c>
      <c r="F393" s="233"/>
      <c r="G393" s="56" t="s">
        <v>171</v>
      </c>
      <c r="H393" s="233"/>
      <c r="I393" s="428">
        <v>5</v>
      </c>
      <c r="J393" s="31"/>
      <c r="K393" s="31"/>
      <c r="L393" s="31"/>
      <c r="M393" s="214">
        <f t="shared" si="208"/>
        <v>5</v>
      </c>
      <c r="N393" s="57">
        <v>4781</v>
      </c>
      <c r="O393" s="57">
        <v>4781</v>
      </c>
      <c r="P393" s="57">
        <v>4781</v>
      </c>
      <c r="Q393" s="57">
        <v>4781</v>
      </c>
      <c r="R393" s="57">
        <f t="shared" si="224"/>
        <v>23905</v>
      </c>
      <c r="S393" s="414">
        <f t="shared" si="222"/>
        <v>22720</v>
      </c>
      <c r="T393" s="414">
        <f t="shared" si="223"/>
        <v>0</v>
      </c>
      <c r="U393" s="414">
        <f t="shared" si="217"/>
        <v>0</v>
      </c>
      <c r="V393" s="414">
        <f t="shared" si="213"/>
        <v>0</v>
      </c>
      <c r="W393" s="57">
        <f t="shared" si="225"/>
        <v>22720</v>
      </c>
      <c r="X393" s="55"/>
      <c r="Y393" s="224"/>
    </row>
    <row r="394" spans="1:27" hidden="1" outlineLevel="2" x14ac:dyDescent="0.15">
      <c r="A394" s="63" t="s">
        <v>1</v>
      </c>
      <c r="B394" s="55" t="s">
        <v>22</v>
      </c>
      <c r="D394" s="55" t="s">
        <v>485</v>
      </c>
      <c r="E394" s="161" t="s">
        <v>18</v>
      </c>
      <c r="F394" s="233" t="s">
        <v>290</v>
      </c>
      <c r="G394" s="56" t="s">
        <v>171</v>
      </c>
      <c r="H394" s="233"/>
      <c r="I394" s="428">
        <v>1</v>
      </c>
      <c r="J394" s="31">
        <v>5</v>
      </c>
      <c r="K394" s="31">
        <v>3</v>
      </c>
      <c r="L394" s="31">
        <v>4</v>
      </c>
      <c r="M394" s="214">
        <f t="shared" si="208"/>
        <v>13</v>
      </c>
      <c r="N394" s="57">
        <v>2850</v>
      </c>
      <c r="O394" s="57">
        <v>2850</v>
      </c>
      <c r="P394" s="57">
        <v>2850</v>
      </c>
      <c r="Q394" s="57">
        <v>2850</v>
      </c>
      <c r="R394" s="57">
        <f t="shared" si="224"/>
        <v>37050</v>
      </c>
      <c r="S394" s="414">
        <f t="shared" si="222"/>
        <v>2850</v>
      </c>
      <c r="T394" s="414">
        <f t="shared" si="223"/>
        <v>14250</v>
      </c>
      <c r="U394" s="414">
        <f t="shared" si="217"/>
        <v>8550</v>
      </c>
      <c r="V394" s="414">
        <f t="shared" si="213"/>
        <v>11400</v>
      </c>
      <c r="W394" s="57">
        <f t="shared" si="225"/>
        <v>37050</v>
      </c>
      <c r="X394" s="55"/>
      <c r="Y394" s="224"/>
    </row>
    <row r="395" spans="1:27" hidden="1" outlineLevel="2" x14ac:dyDescent="0.15">
      <c r="A395" s="63" t="s">
        <v>386</v>
      </c>
      <c r="B395" s="55" t="s">
        <v>31</v>
      </c>
      <c r="D395" s="213" t="s">
        <v>571</v>
      </c>
      <c r="E395" s="161" t="s">
        <v>16</v>
      </c>
      <c r="F395" s="411" t="s">
        <v>108</v>
      </c>
      <c r="G395" s="56" t="s">
        <v>171</v>
      </c>
      <c r="I395" s="307"/>
      <c r="J395" s="31">
        <v>3</v>
      </c>
      <c r="K395" s="31"/>
      <c r="L395" s="31"/>
      <c r="M395" s="214">
        <f t="shared" si="208"/>
        <v>3</v>
      </c>
      <c r="N395" s="57">
        <v>2870</v>
      </c>
      <c r="O395" s="57">
        <v>2870</v>
      </c>
      <c r="P395" s="57">
        <v>2870</v>
      </c>
      <c r="Q395" s="57">
        <v>2870</v>
      </c>
      <c r="R395" s="57">
        <f t="shared" si="224"/>
        <v>8610</v>
      </c>
      <c r="S395" s="414">
        <f t="shared" ref="S395:S396" si="226">IF(N395&gt;prisgrense,I395*prisgrense,I395*N395)</f>
        <v>0</v>
      </c>
      <c r="T395" s="414">
        <f t="shared" ref="T395:T396" si="227">IF(O395&gt;prisgrense,J395*prisgrense,J395*O395)</f>
        <v>8610</v>
      </c>
      <c r="U395" s="414">
        <f t="shared" ref="U395:U396" si="228">IF(P395&gt;prisgrense,K395*prisgrense,K395*P395)</f>
        <v>0</v>
      </c>
      <c r="V395" s="414">
        <f t="shared" si="213"/>
        <v>0</v>
      </c>
      <c r="W395" s="57">
        <f t="shared" si="214"/>
        <v>8610</v>
      </c>
      <c r="X395" s="55"/>
      <c r="Y395" s="224"/>
    </row>
    <row r="396" spans="1:27" hidden="1" outlineLevel="2" x14ac:dyDescent="0.15">
      <c r="A396" s="63" t="s">
        <v>386</v>
      </c>
      <c r="B396" s="55" t="s">
        <v>31</v>
      </c>
      <c r="D396" s="213" t="s">
        <v>572</v>
      </c>
      <c r="E396" s="161" t="s">
        <v>17</v>
      </c>
      <c r="F396" s="56" t="s">
        <v>290</v>
      </c>
      <c r="G396" s="56" t="s">
        <v>171</v>
      </c>
      <c r="I396" s="307"/>
      <c r="J396" s="31">
        <v>5</v>
      </c>
      <c r="K396" s="31"/>
      <c r="L396" s="31"/>
      <c r="M396" s="214">
        <f t="shared" si="208"/>
        <v>5</v>
      </c>
      <c r="N396" s="57">
        <v>3080</v>
      </c>
      <c r="O396" s="57">
        <v>3080</v>
      </c>
      <c r="P396" s="57">
        <v>3080</v>
      </c>
      <c r="Q396" s="57">
        <v>3080</v>
      </c>
      <c r="R396" s="57">
        <f t="shared" si="224"/>
        <v>15400</v>
      </c>
      <c r="S396" s="414">
        <f t="shared" si="226"/>
        <v>0</v>
      </c>
      <c r="T396" s="414">
        <f t="shared" si="227"/>
        <v>15400</v>
      </c>
      <c r="U396" s="414">
        <f t="shared" si="228"/>
        <v>0</v>
      </c>
      <c r="V396" s="414">
        <f t="shared" si="213"/>
        <v>0</v>
      </c>
      <c r="W396" s="57">
        <f t="shared" si="214"/>
        <v>15400</v>
      </c>
      <c r="X396" s="55"/>
      <c r="Y396" s="224"/>
    </row>
    <row r="397" spans="1:27" hidden="1" outlineLevel="2" x14ac:dyDescent="0.15">
      <c r="A397" s="63" t="s">
        <v>384</v>
      </c>
      <c r="B397" s="55" t="s">
        <v>23</v>
      </c>
      <c r="D397" s="55" t="s">
        <v>141</v>
      </c>
      <c r="E397" s="161" t="s">
        <v>16</v>
      </c>
      <c r="F397" s="56" t="s">
        <v>106</v>
      </c>
      <c r="G397" s="56" t="s">
        <v>171</v>
      </c>
      <c r="I397" s="306"/>
      <c r="J397" s="31">
        <v>5</v>
      </c>
      <c r="K397" s="31">
        <v>2</v>
      </c>
      <c r="L397" s="213">
        <v>2</v>
      </c>
      <c r="M397" s="214">
        <f t="shared" ref="M397:M414" si="229">SUM(I397:L397)</f>
        <v>9</v>
      </c>
      <c r="N397" s="57">
        <v>5688</v>
      </c>
      <c r="O397" s="57">
        <v>5688</v>
      </c>
      <c r="P397" s="57">
        <v>5688</v>
      </c>
      <c r="Q397" s="57">
        <v>5688</v>
      </c>
      <c r="R397" s="57">
        <f t="shared" si="224"/>
        <v>51192</v>
      </c>
      <c r="S397" s="414">
        <f t="shared" si="222"/>
        <v>0</v>
      </c>
      <c r="T397" s="414">
        <f t="shared" si="223"/>
        <v>22720</v>
      </c>
      <c r="U397" s="414">
        <f t="shared" si="217"/>
        <v>9088</v>
      </c>
      <c r="V397" s="414">
        <f t="shared" si="213"/>
        <v>9088</v>
      </c>
      <c r="W397" s="57">
        <f t="shared" ref="W397:W414" si="230">SUM(S397:V397)</f>
        <v>40896</v>
      </c>
      <c r="X397" s="55"/>
      <c r="Y397" s="224"/>
      <c r="Z397" s="31">
        <v>271</v>
      </c>
    </row>
    <row r="398" spans="1:27" hidden="1" outlineLevel="2" x14ac:dyDescent="0.15">
      <c r="A398" s="63" t="s">
        <v>384</v>
      </c>
      <c r="B398" s="55" t="s">
        <v>23</v>
      </c>
      <c r="D398" s="55" t="s">
        <v>129</v>
      </c>
      <c r="E398" s="161" t="s">
        <v>16</v>
      </c>
      <c r="F398" s="56" t="s">
        <v>106</v>
      </c>
      <c r="G398" s="56" t="s">
        <v>171</v>
      </c>
      <c r="I398" s="306"/>
      <c r="J398" s="31">
        <v>10</v>
      </c>
      <c r="K398" s="31">
        <v>6</v>
      </c>
      <c r="L398" s="213">
        <v>6</v>
      </c>
      <c r="M398" s="214">
        <f t="shared" si="229"/>
        <v>22</v>
      </c>
      <c r="N398" s="57">
        <v>4568</v>
      </c>
      <c r="O398" s="57">
        <v>4568</v>
      </c>
      <c r="P398" s="57">
        <v>4568</v>
      </c>
      <c r="Q398" s="57">
        <v>4568</v>
      </c>
      <c r="R398" s="57">
        <f t="shared" si="224"/>
        <v>100496</v>
      </c>
      <c r="S398" s="414">
        <f t="shared" si="222"/>
        <v>0</v>
      </c>
      <c r="T398" s="414">
        <f t="shared" si="223"/>
        <v>45440</v>
      </c>
      <c r="U398" s="414">
        <f t="shared" si="217"/>
        <v>27264</v>
      </c>
      <c r="V398" s="414">
        <f t="shared" si="213"/>
        <v>27264</v>
      </c>
      <c r="W398" s="57">
        <f t="shared" si="230"/>
        <v>99968</v>
      </c>
      <c r="X398" s="55"/>
      <c r="Y398" s="224"/>
      <c r="Z398" s="31">
        <v>272</v>
      </c>
    </row>
    <row r="399" spans="1:27" hidden="1" outlineLevel="2" x14ac:dyDescent="0.15">
      <c r="A399" s="63" t="s">
        <v>384</v>
      </c>
      <c r="B399" s="55" t="s">
        <v>23</v>
      </c>
      <c r="D399" s="55" t="s">
        <v>139</v>
      </c>
      <c r="E399" s="161" t="s">
        <v>16</v>
      </c>
      <c r="G399" s="56" t="s">
        <v>171</v>
      </c>
      <c r="I399" s="306"/>
      <c r="J399" s="31">
        <v>19</v>
      </c>
      <c r="K399" s="31">
        <v>15</v>
      </c>
      <c r="L399" s="213">
        <v>15</v>
      </c>
      <c r="M399" s="214">
        <f t="shared" si="229"/>
        <v>49</v>
      </c>
      <c r="N399" s="57">
        <v>5688</v>
      </c>
      <c r="O399" s="57">
        <v>5688</v>
      </c>
      <c r="P399" s="57">
        <v>5688</v>
      </c>
      <c r="Q399" s="57">
        <v>5688</v>
      </c>
      <c r="R399" s="57">
        <f t="shared" si="224"/>
        <v>278712</v>
      </c>
      <c r="S399" s="414">
        <f t="shared" si="222"/>
        <v>0</v>
      </c>
      <c r="T399" s="414">
        <f t="shared" si="223"/>
        <v>86336</v>
      </c>
      <c r="U399" s="414">
        <f t="shared" si="217"/>
        <v>68160</v>
      </c>
      <c r="V399" s="414">
        <f t="shared" si="213"/>
        <v>68160</v>
      </c>
      <c r="W399" s="57">
        <f t="shared" si="230"/>
        <v>222656</v>
      </c>
      <c r="X399" s="55"/>
      <c r="Y399" s="224"/>
      <c r="Z399" s="31">
        <v>273</v>
      </c>
    </row>
    <row r="400" spans="1:27" hidden="1" outlineLevel="2" x14ac:dyDescent="0.15">
      <c r="A400" s="63" t="s">
        <v>384</v>
      </c>
      <c r="B400" s="55" t="s">
        <v>23</v>
      </c>
      <c r="D400" s="55" t="s">
        <v>123</v>
      </c>
      <c r="E400" s="161" t="s">
        <v>17</v>
      </c>
      <c r="F400" s="56" t="s">
        <v>290</v>
      </c>
      <c r="G400" s="56" t="s">
        <v>171</v>
      </c>
      <c r="I400" s="306"/>
      <c r="J400" s="31">
        <v>12</v>
      </c>
      <c r="K400" s="31">
        <v>5</v>
      </c>
      <c r="L400" s="213">
        <v>10</v>
      </c>
      <c r="M400" s="214">
        <f t="shared" si="229"/>
        <v>27</v>
      </c>
      <c r="N400" s="57">
        <v>4568</v>
      </c>
      <c r="O400" s="57">
        <v>4568</v>
      </c>
      <c r="P400" s="57">
        <v>4568</v>
      </c>
      <c r="Q400" s="57">
        <v>4568</v>
      </c>
      <c r="R400" s="57">
        <f t="shared" si="224"/>
        <v>123336</v>
      </c>
      <c r="S400" s="414">
        <f t="shared" si="222"/>
        <v>0</v>
      </c>
      <c r="T400" s="414">
        <f t="shared" si="223"/>
        <v>54528</v>
      </c>
      <c r="U400" s="414">
        <f t="shared" ref="U400:V414" si="231">IF(P400&gt;prisgrense,K400*prisgrense,K400*P400)</f>
        <v>22720</v>
      </c>
      <c r="V400" s="414">
        <f t="shared" si="213"/>
        <v>45440</v>
      </c>
      <c r="W400" s="57">
        <f t="shared" si="230"/>
        <v>122688</v>
      </c>
      <c r="X400" s="55"/>
      <c r="Y400" s="224"/>
      <c r="Z400" s="31">
        <v>274</v>
      </c>
    </row>
    <row r="401" spans="1:26" hidden="1" outlineLevel="2" x14ac:dyDescent="0.15">
      <c r="A401" s="63" t="s">
        <v>384</v>
      </c>
      <c r="B401" s="55" t="s">
        <v>23</v>
      </c>
      <c r="D401" s="55" t="s">
        <v>140</v>
      </c>
      <c r="E401" s="161" t="s">
        <v>17</v>
      </c>
      <c r="F401" s="56" t="s">
        <v>290</v>
      </c>
      <c r="G401" s="56" t="s">
        <v>171</v>
      </c>
      <c r="I401" s="306"/>
      <c r="J401" s="31">
        <v>9</v>
      </c>
      <c r="K401" s="31">
        <v>1</v>
      </c>
      <c r="L401" s="213">
        <v>7</v>
      </c>
      <c r="M401" s="214">
        <f t="shared" si="229"/>
        <v>17</v>
      </c>
      <c r="N401" s="57">
        <v>5848</v>
      </c>
      <c r="O401" s="57">
        <v>5848</v>
      </c>
      <c r="P401" s="57">
        <v>5848</v>
      </c>
      <c r="Q401" s="57">
        <v>5848</v>
      </c>
      <c r="R401" s="57">
        <f t="shared" si="224"/>
        <v>99416</v>
      </c>
      <c r="S401" s="414">
        <f t="shared" si="222"/>
        <v>0</v>
      </c>
      <c r="T401" s="414">
        <f t="shared" si="223"/>
        <v>40896</v>
      </c>
      <c r="U401" s="414">
        <f t="shared" si="231"/>
        <v>4544</v>
      </c>
      <c r="V401" s="414">
        <f t="shared" si="213"/>
        <v>31808</v>
      </c>
      <c r="W401" s="57">
        <f t="shared" si="230"/>
        <v>77248</v>
      </c>
      <c r="X401" s="55"/>
      <c r="Y401" s="224"/>
      <c r="Z401" s="31">
        <v>275</v>
      </c>
    </row>
    <row r="402" spans="1:26" hidden="1" outlineLevel="2" x14ac:dyDescent="0.15">
      <c r="A402" s="63" t="s">
        <v>384</v>
      </c>
      <c r="B402" s="55" t="s">
        <v>23</v>
      </c>
      <c r="D402" s="55" t="s">
        <v>130</v>
      </c>
      <c r="E402" s="161" t="s">
        <v>16</v>
      </c>
      <c r="F402" s="56" t="s">
        <v>106</v>
      </c>
      <c r="G402" s="56" t="s">
        <v>171</v>
      </c>
      <c r="I402" s="306"/>
      <c r="J402" s="31">
        <v>1</v>
      </c>
      <c r="K402" s="31"/>
      <c r="L402" s="213"/>
      <c r="M402" s="214">
        <f t="shared" si="229"/>
        <v>1</v>
      </c>
      <c r="N402" s="57">
        <v>4776</v>
      </c>
      <c r="O402" s="57">
        <v>4776</v>
      </c>
      <c r="P402" s="57">
        <v>4776</v>
      </c>
      <c r="Q402" s="57">
        <v>4776</v>
      </c>
      <c r="R402" s="57">
        <f t="shared" si="224"/>
        <v>4776</v>
      </c>
      <c r="S402" s="414">
        <f t="shared" si="222"/>
        <v>0</v>
      </c>
      <c r="T402" s="414">
        <f t="shared" si="223"/>
        <v>4544</v>
      </c>
      <c r="U402" s="414">
        <f t="shared" si="231"/>
        <v>0</v>
      </c>
      <c r="V402" s="414">
        <f t="shared" si="213"/>
        <v>0</v>
      </c>
      <c r="W402" s="57">
        <f t="shared" si="230"/>
        <v>4544</v>
      </c>
      <c r="X402" s="55"/>
      <c r="Y402" s="224"/>
      <c r="Z402" s="31">
        <v>276</v>
      </c>
    </row>
    <row r="403" spans="1:26" hidden="1" outlineLevel="2" x14ac:dyDescent="0.15">
      <c r="A403" s="63" t="s">
        <v>384</v>
      </c>
      <c r="B403" s="55" t="s">
        <v>23</v>
      </c>
      <c r="D403" s="55" t="s">
        <v>42</v>
      </c>
      <c r="E403" s="161" t="s">
        <v>16</v>
      </c>
      <c r="G403" s="56" t="s">
        <v>171</v>
      </c>
      <c r="I403" s="306"/>
      <c r="J403" s="31">
        <v>2</v>
      </c>
      <c r="K403" s="31"/>
      <c r="L403" s="31">
        <v>4</v>
      </c>
      <c r="M403" s="214">
        <f t="shared" si="229"/>
        <v>6</v>
      </c>
      <c r="N403" s="57">
        <v>4568</v>
      </c>
      <c r="O403" s="57">
        <v>4568</v>
      </c>
      <c r="P403" s="57">
        <v>4568</v>
      </c>
      <c r="Q403" s="57">
        <v>4568</v>
      </c>
      <c r="R403" s="57">
        <f t="shared" si="224"/>
        <v>27408</v>
      </c>
      <c r="S403" s="414">
        <f t="shared" si="222"/>
        <v>0</v>
      </c>
      <c r="T403" s="414">
        <f t="shared" si="223"/>
        <v>9088</v>
      </c>
      <c r="U403" s="414">
        <f t="shared" si="231"/>
        <v>0</v>
      </c>
      <c r="V403" s="414">
        <f t="shared" si="213"/>
        <v>18176</v>
      </c>
      <c r="W403" s="57">
        <f t="shared" si="230"/>
        <v>27264</v>
      </c>
      <c r="X403" s="55"/>
      <c r="Y403" s="224"/>
      <c r="Z403" s="31">
        <v>278</v>
      </c>
    </row>
    <row r="404" spans="1:26" hidden="1" outlineLevel="2" x14ac:dyDescent="0.15">
      <c r="A404" s="63" t="s">
        <v>384</v>
      </c>
      <c r="B404" s="55" t="s">
        <v>23</v>
      </c>
      <c r="D404" s="55" t="s">
        <v>41</v>
      </c>
      <c r="E404" s="161" t="s">
        <v>16</v>
      </c>
      <c r="G404" s="56" t="s">
        <v>171</v>
      </c>
      <c r="I404" s="306"/>
      <c r="J404" s="31">
        <v>6</v>
      </c>
      <c r="K404" s="31"/>
      <c r="L404" s="213">
        <v>3</v>
      </c>
      <c r="M404" s="214">
        <f t="shared" si="229"/>
        <v>9</v>
      </c>
      <c r="N404" s="57">
        <v>2760</v>
      </c>
      <c r="O404" s="57">
        <v>2760</v>
      </c>
      <c r="P404" s="57">
        <v>2760</v>
      </c>
      <c r="Q404" s="57">
        <v>2760</v>
      </c>
      <c r="R404" s="57">
        <f t="shared" si="224"/>
        <v>24840</v>
      </c>
      <c r="S404" s="414">
        <f t="shared" si="222"/>
        <v>0</v>
      </c>
      <c r="T404" s="414">
        <f t="shared" si="223"/>
        <v>16560</v>
      </c>
      <c r="U404" s="414">
        <f t="shared" si="231"/>
        <v>0</v>
      </c>
      <c r="V404" s="414">
        <f t="shared" si="213"/>
        <v>8280</v>
      </c>
      <c r="W404" s="57">
        <f t="shared" si="230"/>
        <v>24840</v>
      </c>
      <c r="X404" s="418"/>
      <c r="Y404" s="409"/>
      <c r="Z404" s="31">
        <v>280</v>
      </c>
    </row>
    <row r="405" spans="1:26" hidden="1" outlineLevel="2" x14ac:dyDescent="0.15">
      <c r="A405" s="63" t="s">
        <v>375</v>
      </c>
      <c r="B405" s="55" t="s">
        <v>24</v>
      </c>
      <c r="D405" s="55" t="s">
        <v>654</v>
      </c>
      <c r="E405" s="161" t="s">
        <v>16</v>
      </c>
      <c r="G405" s="56" t="s">
        <v>171</v>
      </c>
      <c r="I405" s="306"/>
      <c r="J405" s="31"/>
      <c r="K405" s="31"/>
      <c r="L405" s="213">
        <v>3</v>
      </c>
      <c r="M405" s="234">
        <v>3</v>
      </c>
      <c r="N405" s="57">
        <v>4456</v>
      </c>
      <c r="O405" s="57">
        <v>4456</v>
      </c>
      <c r="P405" s="57">
        <v>4456</v>
      </c>
      <c r="Q405" s="57">
        <v>4456</v>
      </c>
      <c r="R405" s="57">
        <f t="shared" ref="R405:R407" si="232">SUMPRODUCT(I405:L405,N405:Q405)</f>
        <v>13368</v>
      </c>
      <c r="S405" s="414">
        <f t="shared" ref="S405:S407" si="233">IF(N405&gt;prisgrense,I405*prisgrense,I405*N405)</f>
        <v>0</v>
      </c>
      <c r="T405" s="414">
        <f t="shared" ref="T405:T407" si="234">IF(O405&gt;prisgrense,J405*prisgrense,J405*O405)</f>
        <v>0</v>
      </c>
      <c r="U405" s="414">
        <f t="shared" ref="U405:U407" si="235">IF(P405&gt;prisgrense,K405*prisgrense,K405*P405)</f>
        <v>0</v>
      </c>
      <c r="V405" s="414">
        <f t="shared" ref="V405:V407" si="236">IF(Q405&gt;prisgrense,L405*prisgrense,L405*Q405)</f>
        <v>13368</v>
      </c>
      <c r="W405" s="57">
        <f t="shared" ref="W405:W407" si="237">SUM(S405:V405)</f>
        <v>13368</v>
      </c>
      <c r="X405" s="418" t="s">
        <v>657</v>
      </c>
      <c r="Y405" s="31"/>
    </row>
    <row r="406" spans="1:26" hidden="1" outlineLevel="2" x14ac:dyDescent="0.15">
      <c r="A406" s="63" t="s">
        <v>375</v>
      </c>
      <c r="B406" s="55" t="s">
        <v>24</v>
      </c>
      <c r="D406" s="55" t="s">
        <v>655</v>
      </c>
      <c r="E406" s="161" t="s">
        <v>16</v>
      </c>
      <c r="G406" s="56" t="s">
        <v>171</v>
      </c>
      <c r="I406" s="306"/>
      <c r="J406" s="31"/>
      <c r="K406" s="31"/>
      <c r="L406" s="213">
        <v>8</v>
      </c>
      <c r="M406" s="234">
        <v>8</v>
      </c>
      <c r="N406" s="57">
        <v>4456</v>
      </c>
      <c r="O406" s="57">
        <v>4456</v>
      </c>
      <c r="P406" s="57">
        <v>4456</v>
      </c>
      <c r="Q406" s="57">
        <v>4456</v>
      </c>
      <c r="R406" s="57">
        <f t="shared" si="232"/>
        <v>35648</v>
      </c>
      <c r="S406" s="414">
        <f t="shared" si="233"/>
        <v>0</v>
      </c>
      <c r="T406" s="414">
        <f t="shared" si="234"/>
        <v>0</v>
      </c>
      <c r="U406" s="414">
        <f t="shared" si="235"/>
        <v>0</v>
      </c>
      <c r="V406" s="414">
        <f t="shared" si="236"/>
        <v>35648</v>
      </c>
      <c r="W406" s="57">
        <f t="shared" si="237"/>
        <v>35648</v>
      </c>
      <c r="X406" s="418" t="s">
        <v>657</v>
      </c>
      <c r="Y406" s="31"/>
    </row>
    <row r="407" spans="1:26" hidden="1" outlineLevel="2" x14ac:dyDescent="0.15">
      <c r="A407" s="63" t="s">
        <v>375</v>
      </c>
      <c r="B407" s="55" t="s">
        <v>24</v>
      </c>
      <c r="D407" s="55" t="s">
        <v>656</v>
      </c>
      <c r="E407" s="161" t="s">
        <v>16</v>
      </c>
      <c r="G407" s="56" t="s">
        <v>171</v>
      </c>
      <c r="I407" s="306"/>
      <c r="J407" s="31"/>
      <c r="K407" s="31"/>
      <c r="L407" s="213">
        <v>8</v>
      </c>
      <c r="M407" s="234">
        <v>8</v>
      </c>
      <c r="N407" s="57">
        <v>4456</v>
      </c>
      <c r="O407" s="57">
        <v>4456</v>
      </c>
      <c r="P407" s="57">
        <v>4456</v>
      </c>
      <c r="Q407" s="57">
        <v>4456</v>
      </c>
      <c r="R407" s="57">
        <f t="shared" si="232"/>
        <v>35648</v>
      </c>
      <c r="S407" s="414">
        <f t="shared" si="233"/>
        <v>0</v>
      </c>
      <c r="T407" s="414">
        <f t="shared" si="234"/>
        <v>0</v>
      </c>
      <c r="U407" s="414">
        <f t="shared" si="235"/>
        <v>0</v>
      </c>
      <c r="V407" s="414">
        <f t="shared" si="236"/>
        <v>35648</v>
      </c>
      <c r="W407" s="57">
        <f t="shared" si="237"/>
        <v>35648</v>
      </c>
      <c r="X407" s="418" t="s">
        <v>657</v>
      </c>
      <c r="Y407" s="31"/>
    </row>
    <row r="408" spans="1:26" hidden="1" outlineLevel="2" x14ac:dyDescent="0.15">
      <c r="A408" s="63" t="s">
        <v>375</v>
      </c>
      <c r="B408" s="55" t="s">
        <v>24</v>
      </c>
      <c r="D408" s="55" t="s">
        <v>49</v>
      </c>
      <c r="E408" s="161" t="s">
        <v>16</v>
      </c>
      <c r="G408" s="56" t="s">
        <v>171</v>
      </c>
      <c r="I408" s="306"/>
      <c r="J408" s="31"/>
      <c r="K408" s="31"/>
      <c r="L408" s="213">
        <v>0</v>
      </c>
      <c r="M408" s="214">
        <f t="shared" ref="M408:M410" si="238">SUM(I408:L408)</f>
        <v>0</v>
      </c>
      <c r="N408" s="57">
        <v>5136</v>
      </c>
      <c r="O408" s="57">
        <v>5136</v>
      </c>
      <c r="P408" s="57">
        <v>5136</v>
      </c>
      <c r="Q408" s="57">
        <v>5136</v>
      </c>
      <c r="R408" s="57">
        <f t="shared" si="224"/>
        <v>0</v>
      </c>
      <c r="S408" s="414">
        <f t="shared" si="222"/>
        <v>0</v>
      </c>
      <c r="T408" s="414">
        <f t="shared" si="223"/>
        <v>0</v>
      </c>
      <c r="U408" s="414">
        <f t="shared" si="231"/>
        <v>0</v>
      </c>
      <c r="V408" s="414">
        <f t="shared" si="213"/>
        <v>0</v>
      </c>
      <c r="W408" s="57">
        <f t="shared" si="230"/>
        <v>0</v>
      </c>
      <c r="X408" s="418"/>
      <c r="Y408" s="409"/>
      <c r="Z408" s="31">
        <v>285</v>
      </c>
    </row>
    <row r="409" spans="1:26" hidden="1" outlineLevel="2" x14ac:dyDescent="0.15">
      <c r="A409" s="63" t="s">
        <v>375</v>
      </c>
      <c r="B409" s="55" t="s">
        <v>24</v>
      </c>
      <c r="D409" s="55" t="s">
        <v>54</v>
      </c>
      <c r="E409" s="161" t="s">
        <v>16</v>
      </c>
      <c r="G409" s="56" t="s">
        <v>171</v>
      </c>
      <c r="I409" s="306"/>
      <c r="J409" s="31"/>
      <c r="K409" s="31"/>
      <c r="L409" s="213">
        <v>1</v>
      </c>
      <c r="M409" s="214">
        <f t="shared" si="238"/>
        <v>1</v>
      </c>
      <c r="N409" s="57">
        <v>5252</v>
      </c>
      <c r="O409" s="57">
        <v>5252</v>
      </c>
      <c r="P409" s="57">
        <v>5252</v>
      </c>
      <c r="Q409" s="57">
        <v>5252</v>
      </c>
      <c r="R409" s="57">
        <f t="shared" si="224"/>
        <v>5252</v>
      </c>
      <c r="S409" s="414">
        <f t="shared" si="222"/>
        <v>0</v>
      </c>
      <c r="T409" s="414">
        <f t="shared" si="223"/>
        <v>0</v>
      </c>
      <c r="U409" s="414">
        <f t="shared" si="231"/>
        <v>0</v>
      </c>
      <c r="V409" s="414">
        <f t="shared" si="213"/>
        <v>4544</v>
      </c>
      <c r="W409" s="57">
        <f t="shared" si="230"/>
        <v>4544</v>
      </c>
      <c r="X409" s="418"/>
      <c r="Y409" s="409"/>
      <c r="Z409" s="31">
        <v>281</v>
      </c>
    </row>
    <row r="410" spans="1:26" hidden="1" outlineLevel="2" x14ac:dyDescent="0.15">
      <c r="A410" s="63" t="s">
        <v>375</v>
      </c>
      <c r="B410" s="55" t="s">
        <v>24</v>
      </c>
      <c r="D410" s="55" t="s">
        <v>134</v>
      </c>
      <c r="E410" s="161" t="s">
        <v>17</v>
      </c>
      <c r="F410" s="56" t="s">
        <v>290</v>
      </c>
      <c r="G410" s="56" t="s">
        <v>171</v>
      </c>
      <c r="I410" s="306">
        <v>1</v>
      </c>
      <c r="J410" s="31"/>
      <c r="K410" s="31"/>
      <c r="L410" s="213">
        <v>0</v>
      </c>
      <c r="M410" s="214">
        <f t="shared" si="238"/>
        <v>1</v>
      </c>
      <c r="N410" s="57">
        <v>4492</v>
      </c>
      <c r="O410" s="57">
        <v>4492</v>
      </c>
      <c r="P410" s="57">
        <v>4492</v>
      </c>
      <c r="Q410" s="57">
        <v>4492</v>
      </c>
      <c r="R410" s="57">
        <f t="shared" si="224"/>
        <v>4492</v>
      </c>
      <c r="S410" s="414">
        <f t="shared" si="222"/>
        <v>4492</v>
      </c>
      <c r="T410" s="414">
        <f t="shared" si="223"/>
        <v>0</v>
      </c>
      <c r="U410" s="414">
        <f t="shared" si="231"/>
        <v>0</v>
      </c>
      <c r="V410" s="414">
        <f t="shared" si="213"/>
        <v>0</v>
      </c>
      <c r="W410" s="57">
        <f t="shared" si="230"/>
        <v>4492</v>
      </c>
      <c r="X410" s="418"/>
      <c r="Y410" s="409"/>
      <c r="Z410" s="31">
        <v>284</v>
      </c>
    </row>
    <row r="411" spans="1:26" hidden="1" outlineLevel="2" x14ac:dyDescent="0.15">
      <c r="A411" s="63" t="s">
        <v>377</v>
      </c>
      <c r="B411" s="55" t="s">
        <v>20</v>
      </c>
      <c r="D411" s="55" t="s">
        <v>55</v>
      </c>
      <c r="E411" s="161" t="s">
        <v>16</v>
      </c>
      <c r="F411" s="56" t="s">
        <v>107</v>
      </c>
      <c r="G411" s="56" t="s">
        <v>171</v>
      </c>
      <c r="I411" s="307"/>
      <c r="J411" s="412"/>
      <c r="K411" s="31">
        <v>5</v>
      </c>
      <c r="L411" s="31">
        <v>2</v>
      </c>
      <c r="M411" s="214">
        <f t="shared" si="229"/>
        <v>7</v>
      </c>
      <c r="N411" s="57">
        <v>5014</v>
      </c>
      <c r="O411" s="57">
        <v>5014</v>
      </c>
      <c r="P411" s="57">
        <v>5014</v>
      </c>
      <c r="Q411" s="57">
        <v>5014</v>
      </c>
      <c r="R411" s="57">
        <f t="shared" si="224"/>
        <v>35098</v>
      </c>
      <c r="S411" s="414">
        <f t="shared" si="222"/>
        <v>0</v>
      </c>
      <c r="T411" s="414">
        <f t="shared" si="223"/>
        <v>0</v>
      </c>
      <c r="U411" s="414">
        <f t="shared" si="231"/>
        <v>22720</v>
      </c>
      <c r="V411" s="414">
        <f t="shared" si="213"/>
        <v>9088</v>
      </c>
      <c r="W411" s="57">
        <f t="shared" si="230"/>
        <v>31808</v>
      </c>
      <c r="X411" s="55"/>
      <c r="Y411" s="224"/>
      <c r="Z411" s="31">
        <v>313</v>
      </c>
    </row>
    <row r="412" spans="1:26" hidden="1" outlineLevel="2" x14ac:dyDescent="0.15">
      <c r="A412" s="63" t="s">
        <v>377</v>
      </c>
      <c r="B412" s="55" t="s">
        <v>20</v>
      </c>
      <c r="D412" s="55" t="s">
        <v>200</v>
      </c>
      <c r="E412" s="161" t="s">
        <v>16</v>
      </c>
      <c r="F412" s="56" t="s">
        <v>108</v>
      </c>
      <c r="G412" s="56" t="s">
        <v>171</v>
      </c>
      <c r="I412" s="307"/>
      <c r="J412" s="412">
        <v>6</v>
      </c>
      <c r="K412" s="31">
        <v>2</v>
      </c>
      <c r="L412" s="31">
        <v>8</v>
      </c>
      <c r="M412" s="234">
        <f>SUM(I412:L412)</f>
        <v>16</v>
      </c>
      <c r="N412" s="57">
        <v>4952</v>
      </c>
      <c r="O412" s="57">
        <v>4952</v>
      </c>
      <c r="P412" s="57">
        <v>4952</v>
      </c>
      <c r="Q412" s="57">
        <v>4952</v>
      </c>
      <c r="R412" s="57">
        <f t="shared" ref="R412:R414" si="239">SUMPRODUCT(I412:L412,N412:Q412)</f>
        <v>79232</v>
      </c>
      <c r="S412" s="429">
        <f t="shared" si="222"/>
        <v>0</v>
      </c>
      <c r="T412" s="414">
        <f t="shared" si="223"/>
        <v>27264</v>
      </c>
      <c r="U412" s="414">
        <f t="shared" si="231"/>
        <v>9088</v>
      </c>
      <c r="V412" s="414">
        <f t="shared" si="231"/>
        <v>36352</v>
      </c>
      <c r="W412" s="57">
        <f>SUM(S412:V412)</f>
        <v>72704</v>
      </c>
      <c r="X412" s="55"/>
      <c r="Y412" s="224"/>
    </row>
    <row r="413" spans="1:26" hidden="1" outlineLevel="2" x14ac:dyDescent="0.15">
      <c r="A413" s="63" t="s">
        <v>380</v>
      </c>
      <c r="B413" s="55" t="s">
        <v>19</v>
      </c>
      <c r="C413" s="55" t="s">
        <v>207</v>
      </c>
      <c r="D413" s="427" t="s">
        <v>574</v>
      </c>
      <c r="E413" s="161" t="s">
        <v>16</v>
      </c>
      <c r="F413" s="56" t="s">
        <v>106</v>
      </c>
      <c r="G413" s="56" t="s">
        <v>171</v>
      </c>
      <c r="I413" s="306"/>
      <c r="J413" s="31">
        <v>13</v>
      </c>
      <c r="K413" s="31"/>
      <c r="L413" s="31"/>
      <c r="M413" s="214">
        <f t="shared" si="229"/>
        <v>13</v>
      </c>
      <c r="N413" s="57">
        <v>1290</v>
      </c>
      <c r="O413" s="57">
        <v>1290</v>
      </c>
      <c r="P413" s="57">
        <v>1290</v>
      </c>
      <c r="Q413" s="57">
        <v>1290</v>
      </c>
      <c r="R413" s="57">
        <f t="shared" si="239"/>
        <v>16770</v>
      </c>
      <c r="S413" s="414">
        <f t="shared" ref="S413" si="240">IF(N413&gt;prisgrense,I413*prisgrense,I413*N413)</f>
        <v>0</v>
      </c>
      <c r="T413" s="414">
        <f t="shared" ref="T413" si="241">IF(O413&gt;prisgrense,J413*prisgrense,J413*O413)</f>
        <v>16770</v>
      </c>
      <c r="U413" s="414">
        <f t="shared" ref="U413" si="242">IF(P413&gt;prisgrense,K413*prisgrense,K413*P413)</f>
        <v>0</v>
      </c>
      <c r="V413" s="414">
        <f t="shared" si="231"/>
        <v>0</v>
      </c>
      <c r="W413" s="57">
        <f t="shared" ref="W413" si="243">SUM(S413:V413)</f>
        <v>16770</v>
      </c>
      <c r="X413" s="31" t="s">
        <v>575</v>
      </c>
      <c r="Y413" s="31"/>
    </row>
    <row r="414" spans="1:26" ht="10.5" hidden="1" customHeight="1" outlineLevel="2" x14ac:dyDescent="0.15">
      <c r="A414" s="63" t="s">
        <v>380</v>
      </c>
      <c r="B414" s="55" t="s">
        <v>19</v>
      </c>
      <c r="D414" s="427" t="s">
        <v>203</v>
      </c>
      <c r="E414" s="161" t="s">
        <v>16</v>
      </c>
      <c r="G414" s="56" t="s">
        <v>171</v>
      </c>
      <c r="I414" s="430"/>
      <c r="J414" s="31"/>
      <c r="K414" s="31">
        <v>1</v>
      </c>
      <c r="L414" s="31"/>
      <c r="M414" s="214">
        <f t="shared" si="229"/>
        <v>1</v>
      </c>
      <c r="N414" s="57">
        <v>1740</v>
      </c>
      <c r="O414" s="57">
        <v>1740</v>
      </c>
      <c r="P414" s="57">
        <v>1740</v>
      </c>
      <c r="Q414" s="57">
        <v>1740</v>
      </c>
      <c r="R414" s="57">
        <f t="shared" si="239"/>
        <v>1740</v>
      </c>
      <c r="S414" s="414">
        <f t="shared" si="222"/>
        <v>0</v>
      </c>
      <c r="T414" s="414">
        <f t="shared" si="223"/>
        <v>0</v>
      </c>
      <c r="U414" s="414">
        <f t="shared" si="231"/>
        <v>1740</v>
      </c>
      <c r="V414" s="414">
        <f t="shared" si="231"/>
        <v>0</v>
      </c>
      <c r="W414" s="57">
        <f t="shared" si="230"/>
        <v>1740</v>
      </c>
      <c r="X414" s="55"/>
      <c r="Y414" s="224"/>
    </row>
    <row r="415" spans="1:26" ht="11.25" outlineLevel="1" collapsed="1" thickBot="1" x14ac:dyDescent="0.2">
      <c r="A415" s="55"/>
      <c r="D415" s="427" t="s">
        <v>699</v>
      </c>
      <c r="G415" s="238" t="s">
        <v>182</v>
      </c>
      <c r="I415" s="35">
        <f>SUBTOTAL(9,I370:I414)</f>
        <v>73</v>
      </c>
      <c r="J415" s="35">
        <f>SUBTOTAL(9,J370:J414)</f>
        <v>191</v>
      </c>
      <c r="K415" s="35">
        <f>SUBTOTAL(9,K370:K414)</f>
        <v>122</v>
      </c>
      <c r="L415" s="35">
        <f>SUBTOTAL(9,L370:L414)</f>
        <v>151</v>
      </c>
      <c r="M415" s="214">
        <f>SUBTOTAL(9,M370:M414)</f>
        <v>537</v>
      </c>
      <c r="R415" s="57">
        <f t="shared" ref="R415:W415" si="244">SUBTOTAL(9,R370:R414)</f>
        <v>2271070.666666667</v>
      </c>
      <c r="S415" s="414">
        <f t="shared" si="244"/>
        <v>273795</v>
      </c>
      <c r="T415" s="414">
        <f t="shared" si="244"/>
        <v>731639</v>
      </c>
      <c r="U415" s="414">
        <f t="shared" si="244"/>
        <v>506672</v>
      </c>
      <c r="V415" s="414">
        <f t="shared" si="244"/>
        <v>640431</v>
      </c>
      <c r="W415" s="57">
        <f t="shared" si="244"/>
        <v>2152537</v>
      </c>
      <c r="X415" s="55" t="s">
        <v>700</v>
      </c>
      <c r="Y415" s="224"/>
      <c r="Z415" s="31">
        <v>336</v>
      </c>
    </row>
    <row r="416" spans="1:26" ht="13.5" thickBot="1" x14ac:dyDescent="0.25">
      <c r="A416" s="55"/>
      <c r="D416" s="431" t="s">
        <v>152</v>
      </c>
      <c r="E416" s="165"/>
      <c r="F416" s="28"/>
      <c r="G416" s="432" t="s">
        <v>183</v>
      </c>
      <c r="H416" s="28"/>
      <c r="I416" s="433">
        <f>SUBTOTAL(9,I3:I414)</f>
        <v>13328</v>
      </c>
      <c r="J416" s="433">
        <f>SUBTOTAL(9,J3:J414)</f>
        <v>17897</v>
      </c>
      <c r="K416" s="433">
        <f>SUBTOTAL(9,K3:K414)</f>
        <v>14493</v>
      </c>
      <c r="L416" s="433">
        <f>SUBTOTAL(9,L3:L414)</f>
        <v>20040</v>
      </c>
      <c r="M416" s="241">
        <f>SUBTOTAL(9,M3:M414)</f>
        <v>65758</v>
      </c>
      <c r="N416" s="77"/>
      <c r="O416" s="77"/>
      <c r="P416" s="77"/>
      <c r="Q416" s="77"/>
      <c r="R416" s="77">
        <f>SUBTOTAL(9,R3:R414)</f>
        <v>260539546.66666669</v>
      </c>
      <c r="S416" s="434">
        <f>SUBTOTAL(9,S3:S414)</f>
        <v>49808169</v>
      </c>
      <c r="T416" s="434">
        <f>SUBTOTAL(9,T3:T414)</f>
        <v>69051101</v>
      </c>
      <c r="U416" s="434">
        <f>SUBTOTAL(9,U3:U414)</f>
        <v>56758956</v>
      </c>
      <c r="V416" s="434">
        <f>SUBTOTAL(9,V2:V414)</f>
        <v>78796133</v>
      </c>
      <c r="W416" s="335">
        <f>SUBTOTAL(9,W3:W414)</f>
        <v>254414359</v>
      </c>
      <c r="Y416" s="224"/>
      <c r="Z416" s="31">
        <v>337</v>
      </c>
    </row>
    <row r="417" spans="1:27" x14ac:dyDescent="0.15">
      <c r="A417" s="55"/>
      <c r="D417" s="55" t="s">
        <v>50</v>
      </c>
      <c r="G417" s="238"/>
      <c r="I417" s="35"/>
      <c r="L417" s="435">
        <f>I416+J416+K416+L416</f>
        <v>65758</v>
      </c>
      <c r="M417" s="436" t="s">
        <v>47</v>
      </c>
      <c r="N417" s="437"/>
      <c r="O417" s="437"/>
      <c r="P417" s="437"/>
      <c r="Q417" s="437"/>
      <c r="R417" s="57">
        <f>R416*1.25</f>
        <v>325674433.33333337</v>
      </c>
      <c r="W417" s="57">
        <f>W416*1.25</f>
        <v>318017948.75</v>
      </c>
      <c r="X417" s="55"/>
      <c r="Y417" s="224"/>
      <c r="Z417" s="31">
        <v>338</v>
      </c>
    </row>
    <row r="418" spans="1:27" x14ac:dyDescent="0.15">
      <c r="N418" s="437"/>
      <c r="O418" s="437"/>
      <c r="P418" s="437"/>
      <c r="Q418" s="437"/>
      <c r="W418" s="55"/>
      <c r="X418" s="438"/>
      <c r="Y418" s="439"/>
      <c r="Z418" s="31">
        <v>339</v>
      </c>
    </row>
    <row r="419" spans="1:27" x14ac:dyDescent="0.15">
      <c r="N419" s="437"/>
      <c r="O419" s="437"/>
      <c r="P419" s="437"/>
      <c r="Q419" s="437"/>
      <c r="W419" s="55" t="s">
        <v>46</v>
      </c>
      <c r="X419" s="438"/>
      <c r="Y419" s="439"/>
      <c r="Z419" s="31">
        <v>340</v>
      </c>
    </row>
    <row r="420" spans="1:27" ht="11.25" thickBot="1" x14ac:dyDescent="0.2">
      <c r="A420" s="213"/>
      <c r="B420" s="213"/>
      <c r="C420" s="213"/>
      <c r="D420" s="31"/>
      <c r="I420" s="348"/>
      <c r="L420" s="349"/>
      <c r="N420" s="440" t="s">
        <v>25</v>
      </c>
      <c r="O420" s="440" t="s">
        <v>25</v>
      </c>
      <c r="P420" s="440" t="s">
        <v>25</v>
      </c>
      <c r="Q420" s="440" t="s">
        <v>25</v>
      </c>
      <c r="R420" s="441" t="s">
        <v>34</v>
      </c>
      <c r="W420" s="442"/>
      <c r="X420" s="438"/>
      <c r="Y420" s="439"/>
      <c r="Z420" s="31">
        <v>341</v>
      </c>
    </row>
    <row r="421" spans="1:27" ht="11.25" thickTop="1" x14ac:dyDescent="0.15">
      <c r="D421" s="443" t="s">
        <v>26</v>
      </c>
      <c r="E421" s="444"/>
      <c r="F421" s="445"/>
      <c r="G421" s="445"/>
      <c r="H421" s="445"/>
      <c r="I421" s="446">
        <f>SUMIF($E5:$E414,"=BTE",I5:I414)</f>
        <v>9890</v>
      </c>
      <c r="J421" s="446">
        <f>SUMIF($E5:$E414,"=BTE",J5:J414)</f>
        <v>13381</v>
      </c>
      <c r="K421" s="446">
        <f>SUMIF($E5:$E414,"=BTE",K5:K414)</f>
        <v>10725</v>
      </c>
      <c r="L421" s="446">
        <f>SUMIF($E5:$E414,"=BTE",L5:L414)</f>
        <v>15086</v>
      </c>
      <c r="M421" s="447">
        <f>SUMIF($E5:$E414,"=BTE",M5:M414)</f>
        <v>49082</v>
      </c>
      <c r="N421" s="82">
        <f t="shared" ref="N421:P428" si="245">I421/I$416</f>
        <v>0.74204681872749101</v>
      </c>
      <c r="O421" s="448">
        <f t="shared" si="245"/>
        <v>0.74766720679443477</v>
      </c>
      <c r="P421" s="448">
        <f t="shared" si="245"/>
        <v>0.74001241978886356</v>
      </c>
      <c r="Q421" s="448">
        <f>L421/L416</f>
        <v>0.75279441117764467</v>
      </c>
      <c r="R421" s="449">
        <f t="shared" ref="R421:R428" si="246">M421/M$416</f>
        <v>0.74640347942455676</v>
      </c>
      <c r="W421" s="442"/>
      <c r="Z421" s="31">
        <v>342</v>
      </c>
      <c r="AA421" s="31" t="s">
        <v>564</v>
      </c>
    </row>
    <row r="422" spans="1:27" x14ac:dyDescent="0.15">
      <c r="D422" s="450" t="s">
        <v>638</v>
      </c>
      <c r="E422" s="451"/>
      <c r="F422" s="452"/>
      <c r="G422" s="452"/>
      <c r="H422" s="452"/>
      <c r="I422" s="453">
        <f>SUMIF($E5:$E414,"=BTE power",I5:I414)</f>
        <v>949</v>
      </c>
      <c r="J422" s="453">
        <f>SUMIF($E5:$E414,"=BTE power",J5:J414)</f>
        <v>1141</v>
      </c>
      <c r="K422" s="453">
        <f>SUMIF($E5:$E414,"=BTE power",K5:K414)</f>
        <v>1058</v>
      </c>
      <c r="L422" s="453">
        <f>SUMIF($E5:$E414,"=BTE power",L5:L414)</f>
        <v>1365</v>
      </c>
      <c r="M422" s="454">
        <f>SUMIF($E5:$E414,"=BTE power",M5:M414)</f>
        <v>4513</v>
      </c>
      <c r="N422" s="455"/>
      <c r="O422" s="455"/>
      <c r="P422" s="456">
        <f t="shared" si="245"/>
        <v>7.3000758987097222E-2</v>
      </c>
      <c r="Q422" s="456"/>
      <c r="R422" s="457">
        <f t="shared" si="246"/>
        <v>6.8630432799051067E-2</v>
      </c>
      <c r="W422" s="442"/>
    </row>
    <row r="423" spans="1:27" x14ac:dyDescent="0.15">
      <c r="D423" s="458" t="s">
        <v>639</v>
      </c>
      <c r="I423" s="459">
        <f>SUM(I421:I422)</f>
        <v>10839</v>
      </c>
      <c r="J423" s="459">
        <f>SUM(J421:J422)</f>
        <v>14522</v>
      </c>
      <c r="K423" s="459">
        <f>SUM(K421:K422)</f>
        <v>11783</v>
      </c>
      <c r="L423" s="459">
        <f>SUM(L421:L422)</f>
        <v>16451</v>
      </c>
      <c r="M423" s="436">
        <f>SUMIF($E5:$E414,"=BTE",M5:M414)+SUMIF($E5:$E414,"=BTE power",M5:M414)</f>
        <v>53595</v>
      </c>
      <c r="N423" s="448">
        <f t="shared" ref="N423" si="247">I423/I$416</f>
        <v>0.81325030012004806</v>
      </c>
      <c r="O423" s="448">
        <f t="shared" ref="O423" si="248">J423/J$416</f>
        <v>0.8114209085321562</v>
      </c>
      <c r="P423" s="448">
        <f t="shared" ref="P423" si="249">K423/K$416</f>
        <v>0.8130131787759608</v>
      </c>
      <c r="Q423" s="448">
        <f>L423/L416</f>
        <v>0.82090818363273454</v>
      </c>
      <c r="R423" s="449">
        <f t="shared" si="246"/>
        <v>0.81503391222360777</v>
      </c>
      <c r="W423" s="442"/>
    </row>
    <row r="424" spans="1:27" x14ac:dyDescent="0.15">
      <c r="D424" s="458" t="s">
        <v>27</v>
      </c>
      <c r="I424" s="459">
        <f>SUMIF($E5:$E414,"=ITE",I5:I414)</f>
        <v>1844</v>
      </c>
      <c r="J424" s="459">
        <f>SUMIF($E5:$E414,"=ITE",J5:J414)</f>
        <v>2632</v>
      </c>
      <c r="K424" s="459">
        <f>SUMIF($E5:$E414,"=ITE",K5:K414)</f>
        <v>2190</v>
      </c>
      <c r="L424" s="459">
        <f>SUMIF($E5:$E414,"=ITE",L5:L414)</f>
        <v>2814</v>
      </c>
      <c r="M424" s="436">
        <f>SUMIF($E5:$E414,"=ITE",M5:M414)</f>
        <v>9480</v>
      </c>
      <c r="N424" s="448">
        <f t="shared" si="245"/>
        <v>0.13835534213685474</v>
      </c>
      <c r="O424" s="448">
        <f t="shared" si="245"/>
        <v>0.14706375370173771</v>
      </c>
      <c r="P424" s="448">
        <f t="shared" si="245"/>
        <v>0.15110743117367004</v>
      </c>
      <c r="Q424" s="448">
        <f>L424/L416</f>
        <v>0.1404191616766467</v>
      </c>
      <c r="R424" s="449">
        <f t="shared" si="246"/>
        <v>0.14416496852094041</v>
      </c>
      <c r="W424" s="442"/>
      <c r="Z424" s="31">
        <v>343</v>
      </c>
    </row>
    <row r="425" spans="1:27" x14ac:dyDescent="0.15">
      <c r="D425" s="458" t="s">
        <v>28</v>
      </c>
      <c r="I425" s="459">
        <f>SUMIF($E5:$E414,"=KAN",I5:I414)</f>
        <v>1</v>
      </c>
      <c r="J425" s="459">
        <f>SUMIF($E5:$E414,"=kan",J5:J414)</f>
        <v>5</v>
      </c>
      <c r="K425" s="459">
        <f>SUMIF($E5:$E414,"=kan",K5:K414)</f>
        <v>3</v>
      </c>
      <c r="L425" s="459">
        <f>SUMIF($E5:$E414,"=kan",L5:L414)</f>
        <v>4</v>
      </c>
      <c r="M425" s="436">
        <f>SUMIF($E5:$E414,"=kan",M5:M414)</f>
        <v>13</v>
      </c>
      <c r="N425" s="448">
        <f t="shared" si="245"/>
        <v>7.5030012004801916E-5</v>
      </c>
      <c r="O425" s="448">
        <f t="shared" si="245"/>
        <v>2.7937643180421301E-4</v>
      </c>
      <c r="P425" s="448">
        <f t="shared" si="245"/>
        <v>2.0699648105982198E-4</v>
      </c>
      <c r="Q425" s="448">
        <f>L425/L416</f>
        <v>1.996007984031936E-4</v>
      </c>
      <c r="R425" s="449">
        <f t="shared" si="246"/>
        <v>1.976945770856778E-4</v>
      </c>
      <c r="W425" s="442"/>
      <c r="Z425" s="31">
        <v>344</v>
      </c>
    </row>
    <row r="426" spans="1:27" x14ac:dyDescent="0.15">
      <c r="D426" s="458" t="s">
        <v>37</v>
      </c>
      <c r="I426" s="459">
        <f>SUMIF($E5:$E414,"=CIC",I5:I414)</f>
        <v>631</v>
      </c>
      <c r="J426" s="459">
        <f>SUMIF($E5:$E414,"=CIC",J5:J414)</f>
        <v>707</v>
      </c>
      <c r="K426" s="459">
        <f>SUMIF($E5:$E414,"=CIC",K5:K414)</f>
        <v>493</v>
      </c>
      <c r="L426" s="459">
        <f>SUMIF($E5:$E414,"=CIC",L5:L414)</f>
        <v>744</v>
      </c>
      <c r="M426" s="436">
        <f>SUMIF($E5:$E414,"=CIC",M5:M414)</f>
        <v>2575</v>
      </c>
      <c r="N426" s="448">
        <f t="shared" si="245"/>
        <v>4.7343937575030012E-2</v>
      </c>
      <c r="O426" s="448">
        <f t="shared" si="245"/>
        <v>3.9503827457115719E-2</v>
      </c>
      <c r="P426" s="448">
        <f t="shared" si="245"/>
        <v>3.4016421720830747E-2</v>
      </c>
      <c r="Q426" s="448">
        <f>L426/L416</f>
        <v>3.7125748502994015E-2</v>
      </c>
      <c r="R426" s="449">
        <f t="shared" si="246"/>
        <v>3.9158733538124636E-2</v>
      </c>
      <c r="W426" s="442"/>
      <c r="Z426" s="31">
        <v>345</v>
      </c>
    </row>
    <row r="427" spans="1:27" x14ac:dyDescent="0.15">
      <c r="D427" s="458" t="s">
        <v>640</v>
      </c>
      <c r="I427" s="459">
        <f>SUMIF($E5:$E414,"=BAHA",I5:I414)</f>
        <v>13</v>
      </c>
      <c r="J427" s="459">
        <f>SUMIF($E5:$E414,"=BAHA",J5:J414)</f>
        <v>31</v>
      </c>
      <c r="K427" s="459">
        <f>SUMIF($E5:$E414,"=BAHA",K5:K414)</f>
        <v>24</v>
      </c>
      <c r="L427" s="459">
        <f>SUMIF($E5:$E414,"=BAHA",L5:L414)</f>
        <v>27</v>
      </c>
      <c r="M427" s="436">
        <f>SUMIF($E5:$E414,"=BAHA",M5:M414)</f>
        <v>95</v>
      </c>
      <c r="N427" s="448"/>
      <c r="O427" s="448"/>
      <c r="P427" s="448">
        <f t="shared" si="245"/>
        <v>1.6559718484785758E-3</v>
      </c>
      <c r="Q427" s="448"/>
      <c r="R427" s="449">
        <f t="shared" si="246"/>
        <v>1.4446911402414915E-3</v>
      </c>
      <c r="W427" s="442"/>
    </row>
    <row r="428" spans="1:27" x14ac:dyDescent="0.15">
      <c r="D428" s="458" t="s">
        <v>38</v>
      </c>
      <c r="I428" s="459">
        <f>SUMIF($E5:$E414,"=annet",I5:I414)</f>
        <v>0</v>
      </c>
      <c r="J428" s="459">
        <f>SUMIF($E5:$E414,"=annet",J5:J414)</f>
        <v>0</v>
      </c>
      <c r="K428" s="459">
        <f>SUMIF($E5:$E414,"=annet",K5:K414)</f>
        <v>0</v>
      </c>
      <c r="L428" s="459">
        <f>SUMIF($E5:$E414,"=annet",L5:L414)</f>
        <v>0</v>
      </c>
      <c r="M428" s="436">
        <f>SUMIF($E5:$E414,"=annet",M5:M414)</f>
        <v>0</v>
      </c>
      <c r="N428" s="448">
        <f t="shared" si="245"/>
        <v>0</v>
      </c>
      <c r="O428" s="448">
        <f t="shared" si="245"/>
        <v>0</v>
      </c>
      <c r="P428" s="448">
        <f t="shared" si="245"/>
        <v>0</v>
      </c>
      <c r="Q428" s="448">
        <f>L428/L416</f>
        <v>0</v>
      </c>
      <c r="R428" s="449">
        <f t="shared" si="246"/>
        <v>0</v>
      </c>
      <c r="W428" s="55"/>
      <c r="X428" s="31">
        <f>SUMIF($E3:$E418,"=KRP",M3:M418)</f>
        <v>0</v>
      </c>
      <c r="Z428" s="31">
        <v>346</v>
      </c>
      <c r="AA428" s="31" t="s">
        <v>563</v>
      </c>
    </row>
    <row r="429" spans="1:27" ht="11.25" thickBot="1" x14ac:dyDescent="0.2">
      <c r="D429" s="460" t="s">
        <v>653</v>
      </c>
      <c r="E429" s="461"/>
      <c r="F429" s="462"/>
      <c r="G429" s="462"/>
      <c r="H429" s="462"/>
      <c r="I429" s="463">
        <f>SUM(I423:I428)</f>
        <v>13328</v>
      </c>
      <c r="J429" s="463">
        <f>SUM(J423:J428)</f>
        <v>17897</v>
      </c>
      <c r="K429" s="463">
        <f>SUM(K423:K428)</f>
        <v>14493</v>
      </c>
      <c r="L429" s="464">
        <f>SUM(L423:L428)</f>
        <v>20040</v>
      </c>
      <c r="M429" s="465">
        <f>SUM(M423:M428)</f>
        <v>65758</v>
      </c>
      <c r="N429" s="466">
        <f t="shared" ref="N429" si="250">SUM(N421:N428)</f>
        <v>1.7410714285714286</v>
      </c>
      <c r="O429" s="466">
        <f>SUM(O421:O428)</f>
        <v>1.7459350729172487</v>
      </c>
      <c r="P429" s="466">
        <f>SUM(P423:P428)</f>
        <v>1</v>
      </c>
      <c r="Q429" s="466">
        <f>SUM(Q421:Q428)</f>
        <v>1.7514471057884231</v>
      </c>
      <c r="R429" s="467">
        <f>SUM(R423:R428)</f>
        <v>0.99999999999999989</v>
      </c>
      <c r="W429" s="55"/>
      <c r="Z429" s="31">
        <v>347</v>
      </c>
    </row>
    <row r="430" spans="1:27" ht="11.25" thickTop="1" x14ac:dyDescent="0.15">
      <c r="L430" s="435">
        <f>I429+J429+K429+L429</f>
        <v>65758</v>
      </c>
      <c r="W430" s="55"/>
      <c r="Z430" s="31">
        <v>348</v>
      </c>
    </row>
    <row r="431" spans="1:27" x14ac:dyDescent="0.15">
      <c r="W431" s="55"/>
      <c r="Z431" s="31">
        <v>349</v>
      </c>
    </row>
    <row r="432" spans="1:27" x14ac:dyDescent="0.15">
      <c r="W432" s="55"/>
      <c r="Z432" s="31">
        <v>350</v>
      </c>
    </row>
    <row r="433" spans="9:26" x14ac:dyDescent="0.15">
      <c r="W433" s="55"/>
      <c r="Z433" s="31">
        <v>351</v>
      </c>
    </row>
    <row r="434" spans="9:26" x14ac:dyDescent="0.15">
      <c r="W434" s="55"/>
      <c r="Z434" s="31">
        <v>352</v>
      </c>
    </row>
    <row r="435" spans="9:26" x14ac:dyDescent="0.15">
      <c r="W435" s="55"/>
      <c r="Z435" s="31">
        <v>353</v>
      </c>
    </row>
    <row r="436" spans="9:26" x14ac:dyDescent="0.15">
      <c r="W436" s="55"/>
      <c r="Z436" s="31">
        <v>354</v>
      </c>
    </row>
    <row r="437" spans="9:26" x14ac:dyDescent="0.15">
      <c r="O437" s="312"/>
      <c r="W437" s="55"/>
      <c r="Z437" s="31">
        <v>355</v>
      </c>
    </row>
    <row r="438" spans="9:26" x14ac:dyDescent="0.15">
      <c r="W438" s="55"/>
      <c r="Z438" s="31">
        <v>356</v>
      </c>
    </row>
    <row r="439" spans="9:26" x14ac:dyDescent="0.15">
      <c r="W439" s="55"/>
      <c r="Z439" s="31">
        <v>357</v>
      </c>
    </row>
    <row r="440" spans="9:26" x14ac:dyDescent="0.15">
      <c r="W440" s="55"/>
      <c r="Z440" s="31">
        <v>358</v>
      </c>
    </row>
    <row r="441" spans="9:26" x14ac:dyDescent="0.15">
      <c r="W441" s="55"/>
      <c r="Z441" s="31">
        <v>359</v>
      </c>
    </row>
    <row r="442" spans="9:26" x14ac:dyDescent="0.15">
      <c r="W442" s="55"/>
      <c r="Z442" s="31">
        <v>360</v>
      </c>
    </row>
    <row r="443" spans="9:26" x14ac:dyDescent="0.15">
      <c r="W443" s="55"/>
      <c r="Z443" s="31">
        <v>361</v>
      </c>
    </row>
    <row r="444" spans="9:26" x14ac:dyDescent="0.15">
      <c r="W444" s="55"/>
      <c r="Z444" s="31">
        <v>362</v>
      </c>
    </row>
    <row r="445" spans="9:26" x14ac:dyDescent="0.15">
      <c r="W445" s="55"/>
      <c r="Z445" s="31">
        <v>363</v>
      </c>
    </row>
    <row r="446" spans="9:26" x14ac:dyDescent="0.15">
      <c r="W446" s="55"/>
      <c r="Z446" s="31">
        <v>364</v>
      </c>
    </row>
    <row r="447" spans="9:26" x14ac:dyDescent="0.15">
      <c r="W447" s="55"/>
      <c r="Z447" s="31">
        <v>365</v>
      </c>
    </row>
    <row r="448" spans="9:26" x14ac:dyDescent="0.15">
      <c r="I448" s="459"/>
      <c r="J448" s="468"/>
      <c r="K448" s="468"/>
      <c r="L448" s="468"/>
      <c r="M448" s="469"/>
      <c r="W448" s="55"/>
      <c r="Z448" s="31">
        <v>366</v>
      </c>
    </row>
    <row r="449" spans="1:28" x14ac:dyDescent="0.15">
      <c r="D449" s="470" t="s">
        <v>100</v>
      </c>
      <c r="E449" s="471" t="s">
        <v>45</v>
      </c>
      <c r="F449" s="354"/>
      <c r="G449" s="354"/>
      <c r="H449" s="354"/>
      <c r="I449" s="472">
        <f>SUMIF(N5:N414,"&gt;4544",I5:I414)</f>
        <v>2036</v>
      </c>
      <c r="J449" s="472">
        <f>SUMIF(O5:O414,"&gt;4456",J5:J414)</f>
        <v>4203</v>
      </c>
      <c r="K449" s="472">
        <f>SUMIF(P5:P414,"&gt;4456",K5:K414)</f>
        <v>3485</v>
      </c>
      <c r="L449" s="472">
        <f>SUMIF(Q5:Q414,"&gt;4856",L5:L414)</f>
        <v>4458</v>
      </c>
      <c r="M449" s="473">
        <f>SUM(I449:L449)</f>
        <v>14182</v>
      </c>
      <c r="N449" s="82"/>
      <c r="O449" s="82"/>
      <c r="P449" s="82"/>
      <c r="Q449" s="82"/>
      <c r="R449" s="31"/>
      <c r="S449" s="31"/>
      <c r="T449" s="82"/>
      <c r="X449" s="82"/>
      <c r="Y449" s="228"/>
      <c r="Z449" s="31">
        <v>367</v>
      </c>
    </row>
    <row r="450" spans="1:28" x14ac:dyDescent="0.15">
      <c r="D450" s="474" t="s">
        <v>101</v>
      </c>
      <c r="E450" s="475">
        <v>4544</v>
      </c>
      <c r="F450" s="452"/>
      <c r="G450" s="452"/>
      <c r="H450" s="452"/>
      <c r="I450" s="476">
        <f>I449/I416</f>
        <v>0.15276110444177671</v>
      </c>
      <c r="J450" s="476">
        <f>J449/J416</f>
        <v>0.23484382857462144</v>
      </c>
      <c r="K450" s="476">
        <f>K449/K416</f>
        <v>0.2404609121644932</v>
      </c>
      <c r="L450" s="476">
        <f>L449/L416</f>
        <v>0.22245508982035928</v>
      </c>
      <c r="M450" s="477">
        <f>M449/M416</f>
        <v>0.21566957632531403</v>
      </c>
      <c r="N450" s="82"/>
      <c r="O450" s="82"/>
      <c r="P450" s="82"/>
      <c r="Q450" s="82"/>
      <c r="W450" s="55"/>
      <c r="Z450" s="31">
        <v>368</v>
      </c>
    </row>
    <row r="451" spans="1:28" x14ac:dyDescent="0.15">
      <c r="D451" s="55" t="s">
        <v>170</v>
      </c>
      <c r="F451" s="31"/>
      <c r="G451" s="31"/>
      <c r="H451" s="31"/>
      <c r="I451" s="31">
        <f>COUNT(N5:N414)</f>
        <v>335</v>
      </c>
      <c r="J451" s="31">
        <f>COUNT(O5:O414)</f>
        <v>335</v>
      </c>
      <c r="K451" s="31">
        <f>COUNT(P5:P414)</f>
        <v>389</v>
      </c>
      <c r="L451" s="31">
        <f>COUNT(Q5:Q414)</f>
        <v>389</v>
      </c>
      <c r="N451" s="31"/>
      <c r="W451" s="55"/>
      <c r="Z451" s="31">
        <v>369</v>
      </c>
    </row>
    <row r="452" spans="1:28" x14ac:dyDescent="0.15">
      <c r="D452" s="55" t="s">
        <v>204</v>
      </c>
      <c r="F452" s="31"/>
      <c r="G452" s="31"/>
      <c r="H452" s="31"/>
      <c r="I452" s="31">
        <f>COUNT(N5:N366)</f>
        <v>290</v>
      </c>
      <c r="J452" s="31">
        <f>COUNT(O5:O366)</f>
        <v>290</v>
      </c>
      <c r="K452" s="31">
        <f>COUNT(P5:P366)</f>
        <v>344</v>
      </c>
      <c r="L452" s="31">
        <f>COUNT(Q5:Q366)</f>
        <v>344</v>
      </c>
      <c r="N452" s="31"/>
      <c r="W452" s="55"/>
    </row>
    <row r="453" spans="1:28" x14ac:dyDescent="0.15">
      <c r="D453" s="55" t="s">
        <v>102</v>
      </c>
      <c r="F453" s="31"/>
      <c r="G453" s="31"/>
      <c r="H453" s="31"/>
      <c r="I453" s="82">
        <f>SUMIF($F5:$F414,"=RITE",I5:I414)/I416</f>
        <v>0.4252701080432173</v>
      </c>
      <c r="J453" s="82">
        <f>SUMIF($F5:$F414,"=RITE",J5:J414)/J416</f>
        <v>0.43834162150081019</v>
      </c>
      <c r="K453" s="82">
        <f>SUMIF($F5:$F414,"=RITE",K5:K414)/K416</f>
        <v>0.45415027944524944</v>
      </c>
      <c r="L453" s="82">
        <f>SUMIF($F5:$F414,"=RITE",L5:L414)/L416</f>
        <v>0.46681636726546905</v>
      </c>
      <c r="M453" s="478">
        <f>SUMIF(F5:F414,"=RITE",M5:M414)/M416</f>
        <v>0.44785425347486235</v>
      </c>
      <c r="N453" s="31"/>
      <c r="W453" s="55"/>
      <c r="Z453" s="31">
        <v>370</v>
      </c>
    </row>
    <row r="454" spans="1:28" x14ac:dyDescent="0.15">
      <c r="D454" s="55" t="s">
        <v>642</v>
      </c>
      <c r="F454" s="31"/>
      <c r="G454" s="31"/>
      <c r="H454" s="31"/>
      <c r="I454" s="82">
        <f>SUMIF($F5:$F414,"=slange",I5:I414)/I416</f>
        <v>2.1683673469387755E-2</v>
      </c>
      <c r="J454" s="82">
        <f>SUMIF($F5:$F414,"=slange",J5:J414)/J416</f>
        <v>1.4639325026540761E-2</v>
      </c>
      <c r="K454" s="82">
        <f>SUMIF($F5:$F414,"=slange",K5:K414)/K416</f>
        <v>1.8560684468364039E-2</v>
      </c>
      <c r="L454" s="82">
        <f>SUMIF($F5:$F414,"=slange",L5:L414)/L416</f>
        <v>1.6866267465069862E-2</v>
      </c>
      <c r="M454" s="478">
        <f>SUMIF($F5:$F414,"=slange",M5:M414)/M416</f>
        <v>1.7610024635785759E-2</v>
      </c>
      <c r="N454" s="31"/>
      <c r="W454" s="55"/>
    </row>
    <row r="455" spans="1:28" x14ac:dyDescent="0.15">
      <c r="D455" s="55" t="s">
        <v>103</v>
      </c>
      <c r="F455" s="31"/>
      <c r="G455" s="31"/>
      <c r="H455" s="31"/>
      <c r="I455" s="82">
        <f>SUMIF($F5:$F414,"=tynn",I5:I414)/I416</f>
        <v>0</v>
      </c>
      <c r="J455" s="82">
        <f>SUMIF($F5:$F414,"=tynn",J5:J414)/J416</f>
        <v>0</v>
      </c>
      <c r="K455" s="82">
        <f>SUMIF($F5:$F414,"=tynn",K5:K414)/K416</f>
        <v>3.4499413509970329E-4</v>
      </c>
      <c r="L455" s="82">
        <f>SUMIF($F5:$F414,"=tynn",L5:L414)/L416</f>
        <v>9.9800399201596801E-5</v>
      </c>
      <c r="M455" s="370">
        <f>SUMIF($F5:$F414,"=tynn",M5:M414)/M416</f>
        <v>1.0645092612305727E-4</v>
      </c>
      <c r="N455" s="31"/>
      <c r="W455" s="55"/>
      <c r="Z455" s="31">
        <v>371</v>
      </c>
    </row>
    <row r="456" spans="1:28" x14ac:dyDescent="0.15">
      <c r="D456" s="55" t="s">
        <v>109</v>
      </c>
      <c r="F456" s="31" t="s">
        <v>143</v>
      </c>
      <c r="G456" s="31"/>
      <c r="H456" s="31"/>
      <c r="I456" s="82">
        <f>SUMIF($F5:$F414,"=tynn mulig",I5:I414)/I416</f>
        <v>0.36096938775510207</v>
      </c>
      <c r="J456" s="82">
        <f>SUMIF($F5:$F414,"=tynn mulig",J5:J414)/J416</f>
        <v>0.35279655808236016</v>
      </c>
      <c r="K456" s="82">
        <f>SUMIF($F5:$F414,"=tynn mulig",K5:K414)/K416</f>
        <v>0.3344373145656524</v>
      </c>
      <c r="L456" s="82">
        <f>SUMIF($F5:$F414,"=tynn mulig",L5:L414)/L416</f>
        <v>0.33268463073852295</v>
      </c>
      <c r="M456" s="370">
        <f>SUMIF(F5:F414,"=tynn mulig",M5:M414)/M416</f>
        <v>0.34427750235712767</v>
      </c>
      <c r="N456" s="31"/>
      <c r="W456" s="55"/>
      <c r="Z456" s="31">
        <v>372</v>
      </c>
    </row>
    <row r="457" spans="1:28" x14ac:dyDescent="0.15">
      <c r="D457" s="55" t="s">
        <v>643</v>
      </c>
      <c r="F457" s="31"/>
      <c r="G457" s="31"/>
      <c r="H457" s="31"/>
      <c r="I457" s="82">
        <f>SUMIF($F5:$F414,"=x",I5:I414)/I416</f>
        <v>0.18674969987995199</v>
      </c>
      <c r="J457" s="82">
        <f>SUMIF($F5:$F414,"=x",J5:J414)/J416</f>
        <v>0.18857909146784377</v>
      </c>
      <c r="K457" s="82">
        <f>SUMIF($F5:$F414,"=x",K5:K414)/K416</f>
        <v>0.1869868212240392</v>
      </c>
      <c r="L457" s="82">
        <f>SUMIF($F5:$F414,"=x",L5:L414)/L416</f>
        <v>0.17909181636726548</v>
      </c>
      <c r="M457" s="370">
        <f>SUMIF($F5:$F414,"=x",M5:M414)/M416</f>
        <v>0.18496608777639223</v>
      </c>
      <c r="N457" s="31"/>
      <c r="W457" s="55"/>
    </row>
    <row r="458" spans="1:28" x14ac:dyDescent="0.15">
      <c r="F458" s="31"/>
      <c r="G458" s="31"/>
      <c r="H458" s="31"/>
      <c r="I458" s="82"/>
      <c r="J458" s="82"/>
      <c r="K458" s="82"/>
      <c r="L458" s="82"/>
      <c r="M458" s="370"/>
      <c r="N458" s="31"/>
      <c r="W458" s="55"/>
      <c r="Z458" s="31">
        <v>373</v>
      </c>
    </row>
    <row r="459" spans="1:28" s="83" customFormat="1" ht="12.75" x14ac:dyDescent="0.2">
      <c r="A459" s="63"/>
      <c r="B459" s="55"/>
      <c r="C459" s="55"/>
      <c r="D459" s="55"/>
      <c r="E459" s="161"/>
      <c r="F459" s="56"/>
      <c r="G459" s="56"/>
      <c r="H459" s="56"/>
      <c r="I459" s="31"/>
      <c r="J459" s="35"/>
      <c r="K459" s="35"/>
      <c r="L459" s="35"/>
      <c r="M459" s="64"/>
      <c r="N459" s="57"/>
      <c r="O459" s="57"/>
      <c r="P459" s="57"/>
      <c r="Q459" s="57"/>
      <c r="R459" s="57"/>
      <c r="S459" s="57"/>
      <c r="T459" s="57"/>
      <c r="U459" s="57"/>
      <c r="V459" s="57"/>
      <c r="W459" s="55"/>
      <c r="Y459" s="479"/>
      <c r="Z459" s="31">
        <v>374</v>
      </c>
      <c r="AA459" s="31"/>
      <c r="AB459" s="31"/>
    </row>
    <row r="460" spans="1:28" s="83" customFormat="1" ht="12.75" x14ac:dyDescent="0.2">
      <c r="A460" s="63"/>
      <c r="B460" s="55"/>
      <c r="C460" s="55"/>
      <c r="D460" s="55"/>
      <c r="E460" s="161"/>
      <c r="F460" s="56"/>
      <c r="G460" s="56"/>
      <c r="H460" s="56"/>
      <c r="I460" s="31"/>
      <c r="J460" s="35"/>
      <c r="K460" s="35"/>
      <c r="L460" s="35"/>
      <c r="M460" s="64"/>
      <c r="N460" s="57"/>
      <c r="O460" s="57"/>
      <c r="P460" s="57"/>
      <c r="Q460" s="57"/>
      <c r="R460" s="57"/>
      <c r="S460" s="57"/>
      <c r="T460" s="57"/>
      <c r="U460" s="57"/>
      <c r="V460" s="57"/>
      <c r="W460" s="55"/>
      <c r="Y460" s="479"/>
      <c r="Z460" s="31">
        <v>375</v>
      </c>
      <c r="AA460" s="31"/>
      <c r="AB460" s="31"/>
    </row>
    <row r="461" spans="1:28" s="83" customFormat="1" ht="12.75" x14ac:dyDescent="0.2">
      <c r="A461" s="63"/>
      <c r="B461" s="55"/>
      <c r="C461" s="55"/>
      <c r="D461" s="55"/>
      <c r="E461" s="161"/>
      <c r="F461" s="56"/>
      <c r="G461" s="56"/>
      <c r="H461" s="56"/>
      <c r="I461" s="31"/>
      <c r="J461" s="35"/>
      <c r="K461" s="35"/>
      <c r="L461" s="35"/>
      <c r="M461" s="64"/>
      <c r="N461" s="57"/>
      <c r="O461" s="57"/>
      <c r="P461" s="57"/>
      <c r="Q461" s="57"/>
      <c r="R461" s="57"/>
      <c r="S461" s="57"/>
      <c r="T461" s="57"/>
      <c r="U461" s="57"/>
      <c r="V461" s="57"/>
      <c r="W461" s="55"/>
      <c r="Y461" s="479"/>
      <c r="Z461" s="31">
        <v>376</v>
      </c>
      <c r="AA461" s="31"/>
      <c r="AB461" s="31"/>
    </row>
    <row r="462" spans="1:28" s="83" customFormat="1" ht="12.75" x14ac:dyDescent="0.2">
      <c r="A462" s="63"/>
      <c r="B462" s="55"/>
      <c r="C462" s="55"/>
      <c r="D462" s="55"/>
      <c r="E462" s="161"/>
      <c r="F462" s="56"/>
      <c r="G462" s="56"/>
      <c r="H462" s="56"/>
      <c r="I462" s="31"/>
      <c r="J462" s="35"/>
      <c r="K462" s="35"/>
      <c r="L462" s="35"/>
      <c r="M462" s="64"/>
      <c r="N462" s="57"/>
      <c r="O462" s="57"/>
      <c r="P462" s="57"/>
      <c r="Q462" s="57"/>
      <c r="R462" s="57"/>
      <c r="S462" s="57"/>
      <c r="T462" s="57"/>
      <c r="U462" s="57"/>
      <c r="V462" s="57"/>
      <c r="W462" s="55"/>
      <c r="Y462" s="479"/>
      <c r="Z462" s="31">
        <v>377</v>
      </c>
      <c r="AA462" s="31"/>
      <c r="AB462" s="31"/>
    </row>
    <row r="463" spans="1:28" s="83" customFormat="1" ht="12.75" x14ac:dyDescent="0.2">
      <c r="A463" s="63"/>
      <c r="B463" s="55"/>
      <c r="C463" s="55"/>
      <c r="D463" s="55"/>
      <c r="E463" s="161"/>
      <c r="F463" s="56"/>
      <c r="G463" s="56"/>
      <c r="H463" s="56"/>
      <c r="I463" s="31"/>
      <c r="J463" s="35"/>
      <c r="K463" s="35"/>
      <c r="L463" s="35"/>
      <c r="M463" s="64"/>
      <c r="N463" s="57"/>
      <c r="O463" s="57"/>
      <c r="P463" s="57"/>
      <c r="Q463" s="57"/>
      <c r="R463" s="57"/>
      <c r="S463" s="57"/>
      <c r="T463" s="57"/>
      <c r="U463" s="57"/>
      <c r="V463" s="57"/>
      <c r="W463" s="480"/>
      <c r="Y463" s="479"/>
      <c r="Z463" s="31">
        <v>378</v>
      </c>
      <c r="AA463" s="31"/>
      <c r="AB463" s="31"/>
    </row>
    <row r="464" spans="1:28" s="83" customFormat="1" ht="12.75" x14ac:dyDescent="0.2">
      <c r="A464" s="63"/>
      <c r="D464" s="481"/>
      <c r="E464" s="347"/>
      <c r="F464" s="482"/>
      <c r="G464" s="482"/>
      <c r="H464" s="483"/>
      <c r="I464" s="213"/>
      <c r="J464" s="484"/>
      <c r="K464" s="484"/>
      <c r="L464" s="484"/>
      <c r="M464" s="115"/>
      <c r="N464" s="481"/>
      <c r="O464" s="481"/>
      <c r="P464" s="481"/>
      <c r="Q464" s="481"/>
      <c r="W464" s="480"/>
      <c r="Y464" s="479"/>
      <c r="Z464" s="31">
        <v>379</v>
      </c>
      <c r="AA464" s="31"/>
      <c r="AB464" s="31"/>
    </row>
    <row r="465" spans="1:28" s="83" customFormat="1" ht="12.75" x14ac:dyDescent="0.2">
      <c r="D465" s="481"/>
      <c r="E465" s="347"/>
      <c r="F465" s="482"/>
      <c r="G465" s="482"/>
      <c r="H465" s="483"/>
      <c r="I465" s="213"/>
      <c r="J465" s="484"/>
      <c r="K465" s="484"/>
      <c r="L465" s="484"/>
      <c r="M465" s="115"/>
      <c r="N465" s="481"/>
      <c r="O465" s="481"/>
      <c r="P465" s="481"/>
      <c r="Q465" s="481"/>
      <c r="W465" s="480"/>
      <c r="Y465" s="479"/>
      <c r="Z465" s="31">
        <v>380</v>
      </c>
      <c r="AA465" s="31"/>
      <c r="AB465" s="31"/>
    </row>
    <row r="466" spans="1:28" s="83" customFormat="1" ht="12.75" x14ac:dyDescent="0.2">
      <c r="D466" s="481"/>
      <c r="E466" s="347"/>
      <c r="F466" s="482"/>
      <c r="G466" s="482"/>
      <c r="H466" s="483"/>
      <c r="I466" s="213"/>
      <c r="J466" s="484"/>
      <c r="K466" s="484"/>
      <c r="L466" s="484"/>
      <c r="M466" s="115"/>
      <c r="N466" s="481"/>
      <c r="O466" s="481"/>
      <c r="P466" s="481"/>
      <c r="Q466" s="481"/>
      <c r="W466" s="480"/>
      <c r="Y466" s="479"/>
      <c r="Z466" s="31">
        <v>381</v>
      </c>
      <c r="AA466" s="31"/>
      <c r="AB466" s="31"/>
    </row>
    <row r="467" spans="1:28" s="83" customFormat="1" ht="12.75" x14ac:dyDescent="0.2">
      <c r="D467" s="481"/>
      <c r="E467" s="347"/>
      <c r="F467" s="482"/>
      <c r="G467" s="482"/>
      <c r="H467" s="483"/>
      <c r="I467" s="213"/>
      <c r="J467" s="484"/>
      <c r="K467" s="484"/>
      <c r="L467" s="484"/>
      <c r="M467" s="115"/>
      <c r="N467" s="481"/>
      <c r="O467" s="481"/>
      <c r="P467" s="481"/>
      <c r="Q467" s="481"/>
      <c r="W467" s="480"/>
      <c r="Y467" s="479"/>
      <c r="Z467" s="31">
        <v>382</v>
      </c>
      <c r="AA467" s="31"/>
      <c r="AB467" s="31"/>
    </row>
    <row r="468" spans="1:28" s="83" customFormat="1" ht="12.75" x14ac:dyDescent="0.2">
      <c r="D468" s="481"/>
      <c r="E468" s="347"/>
      <c r="F468" s="482"/>
      <c r="G468" s="482"/>
      <c r="H468" s="483"/>
      <c r="I468" s="213"/>
      <c r="J468" s="484"/>
      <c r="K468" s="484"/>
      <c r="L468" s="484"/>
      <c r="M468" s="115"/>
      <c r="N468" s="481"/>
      <c r="O468" s="481"/>
      <c r="P468" s="481"/>
      <c r="Q468" s="481"/>
      <c r="W468" s="480"/>
      <c r="Y468" s="479"/>
      <c r="Z468" s="31">
        <v>383</v>
      </c>
      <c r="AA468" s="31"/>
      <c r="AB468" s="31"/>
    </row>
    <row r="469" spans="1:28" s="83" customFormat="1" ht="12.75" x14ac:dyDescent="0.2">
      <c r="D469" s="481"/>
      <c r="E469" s="347"/>
      <c r="F469" s="482"/>
      <c r="G469" s="482"/>
      <c r="H469" s="483"/>
      <c r="I469" s="213"/>
      <c r="J469" s="484"/>
      <c r="K469" s="484"/>
      <c r="L469" s="484"/>
      <c r="M469" s="115"/>
      <c r="N469" s="481"/>
      <c r="O469" s="481"/>
      <c r="P469" s="481"/>
      <c r="Q469" s="481"/>
      <c r="W469" s="480"/>
      <c r="Y469" s="479"/>
      <c r="Z469" s="31">
        <v>384</v>
      </c>
      <c r="AA469" s="31"/>
      <c r="AB469" s="31"/>
    </row>
    <row r="470" spans="1:28" s="83" customFormat="1" ht="12.75" x14ac:dyDescent="0.2">
      <c r="D470" s="481"/>
      <c r="E470" s="347"/>
      <c r="F470" s="482"/>
      <c r="G470" s="482"/>
      <c r="H470" s="483"/>
      <c r="I470" s="213"/>
      <c r="J470" s="484"/>
      <c r="K470" s="484"/>
      <c r="L470" s="484"/>
      <c r="M470" s="115"/>
      <c r="N470" s="481"/>
      <c r="O470" s="481"/>
      <c r="P470" s="481"/>
      <c r="Q470" s="481"/>
      <c r="W470" s="480"/>
      <c r="Y470" s="479"/>
      <c r="Z470" s="31">
        <v>385</v>
      </c>
      <c r="AA470" s="31"/>
      <c r="AB470" s="31"/>
    </row>
    <row r="471" spans="1:28" ht="12.75" x14ac:dyDescent="0.2">
      <c r="A471" s="83"/>
      <c r="B471" s="83"/>
      <c r="C471" s="83"/>
      <c r="D471" s="481"/>
      <c r="E471" s="347"/>
      <c r="F471" s="482"/>
      <c r="G471" s="482"/>
      <c r="H471" s="483"/>
      <c r="I471" s="213"/>
      <c r="J471" s="484"/>
      <c r="K471" s="484"/>
      <c r="L471" s="484"/>
      <c r="M471" s="115"/>
      <c r="N471" s="481"/>
      <c r="O471" s="481"/>
      <c r="P471" s="481"/>
      <c r="Q471" s="481"/>
      <c r="R471" s="83"/>
      <c r="S471" s="83"/>
      <c r="T471" s="83"/>
      <c r="U471" s="83"/>
      <c r="V471" s="83"/>
      <c r="W471" s="480"/>
      <c r="X471" s="83"/>
      <c r="Y471" s="479"/>
      <c r="Z471" s="31">
        <v>386</v>
      </c>
    </row>
    <row r="472" spans="1:28" ht="12.75" x14ac:dyDescent="0.2">
      <c r="A472" s="83"/>
      <c r="B472" s="83"/>
      <c r="C472" s="83"/>
      <c r="D472" s="481"/>
      <c r="E472" s="347"/>
      <c r="F472" s="482"/>
      <c r="G472" s="482"/>
      <c r="H472" s="483"/>
      <c r="I472" s="213"/>
      <c r="J472" s="484"/>
      <c r="K472" s="484"/>
      <c r="L472" s="484"/>
      <c r="M472" s="115"/>
      <c r="N472" s="481"/>
      <c r="O472" s="481"/>
      <c r="P472" s="481"/>
      <c r="Q472" s="481"/>
      <c r="R472" s="83"/>
      <c r="S472" s="83"/>
      <c r="T472" s="83"/>
      <c r="U472" s="83"/>
      <c r="V472" s="83"/>
      <c r="W472" s="480"/>
      <c r="X472" s="83"/>
      <c r="Y472" s="479"/>
      <c r="Z472" s="31">
        <v>387</v>
      </c>
    </row>
    <row r="473" spans="1:28" ht="12.75" x14ac:dyDescent="0.2">
      <c r="A473" s="83"/>
      <c r="B473" s="83"/>
      <c r="C473" s="83"/>
      <c r="D473" s="481"/>
      <c r="E473" s="347"/>
      <c r="F473" s="482"/>
      <c r="G473" s="482"/>
      <c r="H473" s="483"/>
      <c r="I473" s="213"/>
      <c r="J473" s="484"/>
      <c r="K473" s="484"/>
      <c r="L473" s="484"/>
      <c r="M473" s="115"/>
      <c r="N473" s="481"/>
      <c r="O473" s="481"/>
      <c r="P473" s="481"/>
      <c r="Q473" s="481"/>
      <c r="R473" s="83"/>
      <c r="S473" s="83"/>
      <c r="T473" s="83"/>
      <c r="U473" s="83"/>
      <c r="V473" s="83"/>
      <c r="W473" s="480"/>
      <c r="X473" s="83"/>
      <c r="Y473" s="479"/>
      <c r="Z473" s="31">
        <v>388</v>
      </c>
    </row>
    <row r="474" spans="1:28" ht="12.75" x14ac:dyDescent="0.2">
      <c r="A474" s="83"/>
      <c r="B474" s="83"/>
      <c r="C474" s="83"/>
      <c r="D474" s="481"/>
      <c r="E474" s="347"/>
      <c r="F474" s="482"/>
      <c r="G474" s="482"/>
      <c r="H474" s="483"/>
      <c r="I474" s="213"/>
      <c r="J474" s="484"/>
      <c r="K474" s="484"/>
      <c r="L474" s="484"/>
      <c r="M474" s="115"/>
      <c r="N474" s="481"/>
      <c r="O474" s="481"/>
      <c r="P474" s="481"/>
      <c r="Q474" s="481"/>
      <c r="R474" s="83"/>
      <c r="S474" s="83"/>
      <c r="T474" s="83"/>
      <c r="U474" s="83"/>
      <c r="V474" s="83"/>
      <c r="W474" s="480"/>
      <c r="X474" s="83"/>
      <c r="Y474" s="479"/>
      <c r="Z474" s="31">
        <v>389</v>
      </c>
    </row>
    <row r="475" spans="1:28" ht="12.75" x14ac:dyDescent="0.2">
      <c r="A475" s="83"/>
      <c r="B475" s="83"/>
      <c r="C475" s="83"/>
      <c r="D475" s="481"/>
      <c r="E475" s="347"/>
      <c r="F475" s="482"/>
      <c r="G475" s="482"/>
      <c r="H475" s="483"/>
      <c r="I475" s="213"/>
      <c r="J475" s="484"/>
      <c r="K475" s="484"/>
      <c r="L475" s="484"/>
      <c r="M475" s="115"/>
      <c r="N475" s="55" t="s">
        <v>29</v>
      </c>
      <c r="O475" s="55" t="s">
        <v>29</v>
      </c>
      <c r="P475" s="55" t="s">
        <v>29</v>
      </c>
      <c r="Q475" s="55" t="s">
        <v>29</v>
      </c>
      <c r="R475" s="83"/>
      <c r="S475" s="83"/>
      <c r="T475" s="83"/>
      <c r="U475" s="83"/>
      <c r="V475" s="83"/>
      <c r="X475" s="31" t="s">
        <v>35</v>
      </c>
      <c r="Z475" s="31">
        <v>390</v>
      </c>
    </row>
    <row r="476" spans="1:28" ht="12.75" x14ac:dyDescent="0.2">
      <c r="A476" s="83"/>
      <c r="N476" s="55" t="s">
        <v>142</v>
      </c>
      <c r="O476" s="55" t="s">
        <v>142</v>
      </c>
      <c r="P476" s="55" t="s">
        <v>142</v>
      </c>
      <c r="Q476" s="55" t="s">
        <v>658</v>
      </c>
      <c r="Z476" s="31">
        <v>391</v>
      </c>
    </row>
    <row r="477" spans="1:28" x14ac:dyDescent="0.15">
      <c r="A477" s="55" t="s">
        <v>384</v>
      </c>
      <c r="D477" s="55" t="s">
        <v>2</v>
      </c>
      <c r="G477" s="485"/>
      <c r="I477" s="31">
        <f>SUMIF($A$5:$A$414,"=Oticon AS",I$5:I$414)</f>
        <v>3146</v>
      </c>
      <c r="J477" s="31">
        <f>SUMIF($A$5:$A$414,"=Oticon AS",J$5:J$414)</f>
        <v>4654</v>
      </c>
      <c r="K477" s="486">
        <f>SUMIF($A$5:$A$414,"=Oticon AS",K$5:K$414)</f>
        <v>4115</v>
      </c>
      <c r="L477" s="486">
        <f>SUMIF($A$5:$A$414,"=Oticon AS",L$5:L$414)</f>
        <v>5774</v>
      </c>
      <c r="M477" s="487">
        <f>SUMIF($A$5:$A$414,"=Oticon AS",M$5:M$414)</f>
        <v>17689</v>
      </c>
      <c r="N477" s="371">
        <f t="shared" ref="N477:N485" si="251">I477/I$486</f>
        <v>0.23604441776710683</v>
      </c>
      <c r="O477" s="371">
        <f t="shared" ref="O477:O485" si="252">J477/J$486</f>
        <v>0.26004358272336148</v>
      </c>
      <c r="P477" s="371">
        <f t="shared" ref="P477:P485" si="253">K477/K$486</f>
        <v>0.28393017318705582</v>
      </c>
      <c r="Q477" s="371">
        <f>L477/L$486</f>
        <v>0.28812375249500999</v>
      </c>
      <c r="R477" s="486">
        <f t="shared" ref="R477:W477" si="254">SUMIF($A$5:$A$414,"=Oticon AS",R$5:R$414)</f>
        <v>83194662</v>
      </c>
      <c r="S477" s="486">
        <f t="shared" si="254"/>
        <v>14083344</v>
      </c>
      <c r="T477" s="486">
        <f t="shared" si="254"/>
        <v>21012650</v>
      </c>
      <c r="U477" s="486">
        <f t="shared" si="254"/>
        <v>18406500</v>
      </c>
      <c r="V477" s="486">
        <f t="shared" si="254"/>
        <v>25936278</v>
      </c>
      <c r="W477" s="486">
        <f t="shared" si="254"/>
        <v>79438772</v>
      </c>
      <c r="X477" s="82">
        <f t="shared" ref="X477:X485" si="255">R477/R$486</f>
        <v>0.31931682949628737</v>
      </c>
      <c r="Y477" s="228"/>
      <c r="Z477" s="31">
        <v>392</v>
      </c>
    </row>
    <row r="478" spans="1:28" x14ac:dyDescent="0.15">
      <c r="A478" s="55" t="s">
        <v>375</v>
      </c>
      <c r="D478" s="55" t="s">
        <v>3</v>
      </c>
      <c r="G478" s="485"/>
      <c r="I478" s="31">
        <f>SUMIF($A$5:$A$414,"=Phonak AS",I$5:I$414)</f>
        <v>2855</v>
      </c>
      <c r="J478" s="31">
        <f>SUMIF($A$5:$A$414,"=Phonak AS",J$5:J$414)</f>
        <v>3385</v>
      </c>
      <c r="K478" s="486">
        <f>SUMIF($A$5:$A$414,"=Phonak AS",K$5:K$414)</f>
        <v>2486</v>
      </c>
      <c r="L478" s="486">
        <f>SUMIF($A$5:$A$414,"=Phonak AS",L$5:L$414)</f>
        <v>3548</v>
      </c>
      <c r="M478" s="487">
        <f>SUMIF($A$5:$A$414,"=Phonak AS",M$5:M$414)</f>
        <v>12274</v>
      </c>
      <c r="N478" s="371">
        <f t="shared" si="251"/>
        <v>0.21421068427370948</v>
      </c>
      <c r="O478" s="371">
        <f t="shared" si="252"/>
        <v>0.1891378443314522</v>
      </c>
      <c r="P478" s="371">
        <f t="shared" si="253"/>
        <v>0.17153108397157249</v>
      </c>
      <c r="Q478" s="371">
        <f t="shared" ref="Q478:Q485" si="256">L478/L$486</f>
        <v>0.17704590818363272</v>
      </c>
      <c r="R478" s="486">
        <f t="shared" ref="R478:W478" si="257">SUMIF($A$5:$A$414,"=Phonak AS",R$5:R$414)</f>
        <v>34806070</v>
      </c>
      <c r="S478" s="486">
        <f t="shared" si="257"/>
        <v>7759488</v>
      </c>
      <c r="T478" s="486">
        <f t="shared" si="257"/>
        <v>9299428</v>
      </c>
      <c r="U478" s="486">
        <f t="shared" si="257"/>
        <v>6956611</v>
      </c>
      <c r="V478" s="486">
        <f t="shared" si="257"/>
        <v>10216083</v>
      </c>
      <c r="W478" s="486">
        <f t="shared" si="257"/>
        <v>34231610</v>
      </c>
      <c r="X478" s="82">
        <f t="shared" si="255"/>
        <v>0.13359227205738083</v>
      </c>
      <c r="Y478" s="228"/>
      <c r="Z478" s="31">
        <v>394</v>
      </c>
    </row>
    <row r="479" spans="1:28" x14ac:dyDescent="0.15">
      <c r="A479" s="55" t="s">
        <v>388</v>
      </c>
      <c r="D479" s="55" t="s">
        <v>95</v>
      </c>
      <c r="G479" s="485"/>
      <c r="I479" s="31">
        <f>SUMIF($A$5:$A$414,"=GN ReSound Norge AS",I$5:I$414)</f>
        <v>2106</v>
      </c>
      <c r="J479" s="31">
        <f>SUMIF($A$5:$A$414,"=GN ReSound Norge AS",J$5:J$414)</f>
        <v>3325</v>
      </c>
      <c r="K479" s="486">
        <f>SUMIF($A$5:$A$414,"=GN ReSound Norge AS",K$5:K$414)</f>
        <v>2523</v>
      </c>
      <c r="L479" s="486">
        <f>SUMIF($A$5:$A$414,"=GN ReSound Norge AS",L$5:L$414)</f>
        <v>3208</v>
      </c>
      <c r="M479" s="487">
        <f>SUMIF($A$5:$A$414,"=GN ReSound Norge AS",M$5:M$414)</f>
        <v>11162</v>
      </c>
      <c r="N479" s="371">
        <f t="shared" ref="N479:Q482" si="258">I479/I$486</f>
        <v>0.15801320528211285</v>
      </c>
      <c r="O479" s="371">
        <f t="shared" si="258"/>
        <v>0.18578532714980164</v>
      </c>
      <c r="P479" s="371">
        <f t="shared" si="258"/>
        <v>0.1740840405713103</v>
      </c>
      <c r="Q479" s="371">
        <f t="shared" si="258"/>
        <v>0.16007984031936129</v>
      </c>
      <c r="R479" s="486">
        <f t="shared" ref="R479:W479" si="259">SUMIF($A$5:$A$414,"=GN ReSound Norge AS",R$5:R$414)</f>
        <v>51339817.666666664</v>
      </c>
      <c r="S479" s="486">
        <f t="shared" si="259"/>
        <v>9229185</v>
      </c>
      <c r="T479" s="486">
        <f t="shared" si="259"/>
        <v>14744029</v>
      </c>
      <c r="U479" s="486">
        <f t="shared" si="259"/>
        <v>11273988</v>
      </c>
      <c r="V479" s="486">
        <f t="shared" si="259"/>
        <v>14365005</v>
      </c>
      <c r="W479" s="486">
        <f t="shared" si="259"/>
        <v>49612207</v>
      </c>
      <c r="X479" s="82">
        <f>R479/R$486</f>
        <v>0.19705191907910485</v>
      </c>
      <c r="Y479" s="228"/>
      <c r="Z479" s="31">
        <v>393</v>
      </c>
    </row>
    <row r="480" spans="1:28" x14ac:dyDescent="0.15">
      <c r="A480" s="55" t="s">
        <v>1</v>
      </c>
      <c r="D480" s="55" t="s">
        <v>1</v>
      </c>
      <c r="G480" s="485"/>
      <c r="I480" s="31">
        <f>SUMIF($A$5:$A$414,"=Medisan",I$5:I$414)</f>
        <v>2120</v>
      </c>
      <c r="J480" s="31">
        <f>SUMIF($A$5:$A$414,"=Medisan",J$5:J$414)</f>
        <v>2830</v>
      </c>
      <c r="K480" s="486">
        <f>SUMIF($A$5:$A$414,"=Medisan",K$5:K$414)</f>
        <v>2279</v>
      </c>
      <c r="L480" s="486">
        <f>SUMIF($A$5:$A$414,"=Medisan",L$5:L$414)</f>
        <v>3079</v>
      </c>
      <c r="M480" s="487">
        <f>SUMIF($A$5:$A$414,"=Medisan",M$5:M$414)</f>
        <v>10308</v>
      </c>
      <c r="N480" s="371">
        <f t="shared" si="258"/>
        <v>0.15906362545018007</v>
      </c>
      <c r="O480" s="371">
        <f t="shared" si="258"/>
        <v>0.15812706040118454</v>
      </c>
      <c r="P480" s="371">
        <f t="shared" si="258"/>
        <v>0.15724832677844477</v>
      </c>
      <c r="Q480" s="371">
        <f t="shared" si="258"/>
        <v>0.15364271457085829</v>
      </c>
      <c r="R480" s="486">
        <f t="shared" ref="R480:W480" si="260">SUMIF($A$5:$A$414,"=Medisan",R$5:R$414)</f>
        <v>40966477</v>
      </c>
      <c r="S480" s="486">
        <f t="shared" si="260"/>
        <v>8313372</v>
      </c>
      <c r="T480" s="486">
        <f t="shared" si="260"/>
        <v>11270266</v>
      </c>
      <c r="U480" s="486">
        <f t="shared" si="260"/>
        <v>9188818</v>
      </c>
      <c r="V480" s="486">
        <f t="shared" si="260"/>
        <v>12139618</v>
      </c>
      <c r="W480" s="486">
        <f t="shared" si="260"/>
        <v>40912074</v>
      </c>
      <c r="X480" s="82">
        <f>R480/R$486</f>
        <v>0.15723707791820318</v>
      </c>
      <c r="Y480" s="228"/>
      <c r="Z480" s="31">
        <v>395</v>
      </c>
    </row>
    <row r="481" spans="1:26" x14ac:dyDescent="0.15">
      <c r="A481" s="55" t="s">
        <v>377</v>
      </c>
      <c r="D481" s="55" t="s">
        <v>131</v>
      </c>
      <c r="G481" s="485"/>
      <c r="I481" s="31">
        <f>SUMIF($A$5:$A$414,"=Siemens Høreapparater AS",I$5:I$414)</f>
        <v>1495</v>
      </c>
      <c r="J481" s="31">
        <f>SUMIF($A$5:$A$414,"=Siemens Høreapparater AS",J$5:J$414)</f>
        <v>1859</v>
      </c>
      <c r="K481" s="486">
        <f>SUMIF($A$5:$A$414,"=Siemens Høreapparater AS",K$5:K$414)</f>
        <v>1563</v>
      </c>
      <c r="L481" s="486">
        <f>SUMIF($A$5:$A$414,"=Siemens Høreapparater AS",L$5:L$414)</f>
        <v>2531</v>
      </c>
      <c r="M481" s="487">
        <f>SUMIF($A$5:$A$414,"=Siemens Høreapparater AS",M$5:M$414)</f>
        <v>7448</v>
      </c>
      <c r="N481" s="371">
        <f t="shared" si="258"/>
        <v>0.11216986794717887</v>
      </c>
      <c r="O481" s="371">
        <f t="shared" si="258"/>
        <v>0.1038721573448064</v>
      </c>
      <c r="P481" s="371">
        <f t="shared" si="258"/>
        <v>0.10784516663216726</v>
      </c>
      <c r="Q481" s="371">
        <f t="shared" si="258"/>
        <v>0.12629740518962077</v>
      </c>
      <c r="R481" s="486">
        <f t="shared" ref="R481:W481" si="261">SUMIF($A$5:$A$414,"=Siemens Høreapparater AS",R$5:R$414)</f>
        <v>27528530</v>
      </c>
      <c r="S481" s="486">
        <f t="shared" si="261"/>
        <v>5069400</v>
      </c>
      <c r="T481" s="486">
        <f t="shared" si="261"/>
        <v>6712664</v>
      </c>
      <c r="U481" s="486">
        <f t="shared" si="261"/>
        <v>5938208</v>
      </c>
      <c r="V481" s="486">
        <f t="shared" si="261"/>
        <v>9798440</v>
      </c>
      <c r="W481" s="486">
        <f t="shared" si="261"/>
        <v>27518712</v>
      </c>
      <c r="X481" s="82">
        <f>R481/R$486</f>
        <v>0.10565969869909961</v>
      </c>
      <c r="Y481" s="228"/>
      <c r="Z481" s="31">
        <v>396</v>
      </c>
    </row>
    <row r="482" spans="1:26" x14ac:dyDescent="0.15">
      <c r="A482" s="55" t="s">
        <v>382</v>
      </c>
      <c r="D482" s="55" t="s">
        <v>0</v>
      </c>
      <c r="G482" s="485"/>
      <c r="I482" s="31">
        <f>SUMIF($A$5:$A$414,"=Gewa AS",I$5:I$414)</f>
        <v>1043</v>
      </c>
      <c r="J482" s="31">
        <f>SUMIF($A$5:$A$414,"=Gewa AS",J$5:J$414)</f>
        <v>1015</v>
      </c>
      <c r="K482" s="486">
        <f>SUMIF($A$5:$A$414,"=Gewa AS",K$5:K$414)</f>
        <v>854</v>
      </c>
      <c r="L482" s="486">
        <f>SUMIF($A$5:$A$414,"=Gewa AS",L$5:L$414)</f>
        <v>1035</v>
      </c>
      <c r="M482" s="487">
        <f>SUMIF($A$5:$A$414,"=Gewa AS",M$5:M$414)</f>
        <v>3947</v>
      </c>
      <c r="N482" s="371">
        <f t="shared" si="258"/>
        <v>7.8256302521008403E-2</v>
      </c>
      <c r="O482" s="371">
        <f t="shared" si="258"/>
        <v>5.6713415656255241E-2</v>
      </c>
      <c r="P482" s="371">
        <f t="shared" si="258"/>
        <v>5.8924998275029325E-2</v>
      </c>
      <c r="Q482" s="371">
        <f t="shared" si="258"/>
        <v>5.1646706586826345E-2</v>
      </c>
      <c r="R482" s="486">
        <f t="shared" ref="R482:W482" si="262">SUMIF($A$5:$A$414,"=Gewa AS",R$5:R$414)</f>
        <v>14446020</v>
      </c>
      <c r="S482" s="486">
        <f t="shared" si="262"/>
        <v>3817380</v>
      </c>
      <c r="T482" s="486">
        <f t="shared" si="262"/>
        <v>3714900</v>
      </c>
      <c r="U482" s="486">
        <f t="shared" si="262"/>
        <v>3125640</v>
      </c>
      <c r="V482" s="486">
        <f t="shared" si="262"/>
        <v>3788100</v>
      </c>
      <c r="W482" s="486">
        <f t="shared" si="262"/>
        <v>14446020</v>
      </c>
      <c r="X482" s="82">
        <f>R482/R$486</f>
        <v>5.544655383346539E-2</v>
      </c>
      <c r="Y482" s="228"/>
      <c r="Z482" s="31">
        <v>397</v>
      </c>
    </row>
    <row r="483" spans="1:26" x14ac:dyDescent="0.15">
      <c r="A483" s="55" t="s">
        <v>386</v>
      </c>
      <c r="D483" s="55" t="s">
        <v>36</v>
      </c>
      <c r="G483" s="485"/>
      <c r="I483" s="31">
        <f>SUMIF($A$5:$A$414,"=Medus AS",I$5:I$414)</f>
        <v>248</v>
      </c>
      <c r="J483" s="31">
        <f>SUMIF($A$5:$A$414,"=Medus AS",J$5:J$414)</f>
        <v>394</v>
      </c>
      <c r="K483" s="486">
        <f>SUMIF($A$5:$A$414,"=Medus AS",K$5:K$414)</f>
        <v>286</v>
      </c>
      <c r="L483" s="486">
        <f>SUMIF($A$5:$A$414,"=Medus AS",L$5:L$414)</f>
        <v>474</v>
      </c>
      <c r="M483" s="487">
        <f>SUMIF($A$5:$A$414,"=Medus AS",M$5:M$414)</f>
        <v>1402</v>
      </c>
      <c r="N483" s="371">
        <f t="shared" si="251"/>
        <v>1.8607442977190875E-2</v>
      </c>
      <c r="O483" s="371">
        <f t="shared" si="252"/>
        <v>2.2014862826171985E-2</v>
      </c>
      <c r="P483" s="371">
        <f t="shared" si="253"/>
        <v>1.9733664527703029E-2</v>
      </c>
      <c r="Q483" s="371">
        <f t="shared" si="256"/>
        <v>2.3652694610778444E-2</v>
      </c>
      <c r="R483" s="486">
        <f t="shared" ref="R483:W483" si="263">SUMIF($A$5:$A$414,"=Medus AS",R$5:R$414)</f>
        <v>4893666</v>
      </c>
      <c r="S483" s="486">
        <f t="shared" si="263"/>
        <v>830600</v>
      </c>
      <c r="T483" s="486">
        <f t="shared" si="263"/>
        <v>1349310</v>
      </c>
      <c r="U483" s="486">
        <f t="shared" si="263"/>
        <v>1023300</v>
      </c>
      <c r="V483" s="486">
        <f t="shared" si="263"/>
        <v>1688496</v>
      </c>
      <c r="W483" s="486">
        <f t="shared" si="263"/>
        <v>4891706</v>
      </c>
      <c r="X483" s="82">
        <f t="shared" si="255"/>
        <v>1.8782814596130921E-2</v>
      </c>
      <c r="Y483" s="228"/>
      <c r="Z483" s="31">
        <v>400</v>
      </c>
    </row>
    <row r="484" spans="1:26" x14ac:dyDescent="0.15">
      <c r="A484" s="55" t="s">
        <v>389</v>
      </c>
      <c r="D484" s="55" t="s">
        <v>4</v>
      </c>
      <c r="G484" s="485"/>
      <c r="I484" s="31">
        <f>SUMIF($A$5:$A$414,"=Starkey Norway AS",I$5:I$414)</f>
        <v>305</v>
      </c>
      <c r="J484" s="31">
        <f>SUMIF($A$5:$A$414,"=Starkey Norway AS",J$5:J$414)</f>
        <v>395</v>
      </c>
      <c r="K484" s="486">
        <f>SUMIF($A$5:$A$414,"=Starkey Norway AS",K$5:K$414)</f>
        <v>340</v>
      </c>
      <c r="L484" s="486">
        <f>SUMIF($A$5:$A$414,"=Starkey Norway AS",L$5:L$414)</f>
        <v>322</v>
      </c>
      <c r="M484" s="487">
        <f>SUMIF($A$5:$A$414,"=Starkey Norway AS",M$5:M$414)</f>
        <v>1362</v>
      </c>
      <c r="N484" s="371">
        <f t="shared" si="251"/>
        <v>2.2884153661464585E-2</v>
      </c>
      <c r="O484" s="371">
        <f t="shared" si="252"/>
        <v>2.2070738112532826E-2</v>
      </c>
      <c r="P484" s="371">
        <f t="shared" si="253"/>
        <v>2.3459601186779824E-2</v>
      </c>
      <c r="Q484" s="371">
        <f t="shared" si="256"/>
        <v>1.6067864271457087E-2</v>
      </c>
      <c r="R484" s="486">
        <f>SUMIF($A$5:$A$414,"=Starkey Norway AS",R$5:R$414)</f>
        <v>3082714</v>
      </c>
      <c r="S484" s="486">
        <f>SUMIF($A$5:$A$414,"=Starkey Norway AS",S$5:S$414)</f>
        <v>691800</v>
      </c>
      <c r="T484" s="486">
        <f>SUMIF($A$5:$A$414,"=Starkey Norway AS",T$5:T$414)</f>
        <v>875800</v>
      </c>
      <c r="U484" s="486">
        <f>SUMIF($A$5:$A$414,"=Starkey Norway AS",U$5:U$414)</f>
        <v>773511</v>
      </c>
      <c r="V484" s="486">
        <f>SUMIF($A$5:$A$414,"=Starkey Norway AS",V$5:V$414)</f>
        <v>741603</v>
      </c>
      <c r="W484" s="486">
        <f>SUMIF($A$5:$A$414,"=Starkey Norway AS",$R$5:W$414)</f>
        <v>3082714</v>
      </c>
      <c r="X484" s="82">
        <f t="shared" si="255"/>
        <v>1.1832038703682912E-2</v>
      </c>
      <c r="Y484" s="228"/>
      <c r="Z484" s="31">
        <v>398</v>
      </c>
    </row>
    <row r="485" spans="1:26" ht="11.25" thickBot="1" x14ac:dyDescent="0.2">
      <c r="A485" s="55" t="s">
        <v>380</v>
      </c>
      <c r="D485" s="55" t="s">
        <v>51</v>
      </c>
      <c r="G485" s="485"/>
      <c r="I485" s="31">
        <f>SUMIF($A$5:$A$414,"=Unitron Hearing AS",I$5:I$414)</f>
        <v>10</v>
      </c>
      <c r="J485" s="31">
        <f>SUMIF($A$5:$A$414,"=Unitron Hearing AS",J$5:J$414)</f>
        <v>40</v>
      </c>
      <c r="K485" s="486">
        <f>SUMIF($A$5:$A$414,"=Unitron Hearing AS",K$5:K$414)</f>
        <v>47</v>
      </c>
      <c r="L485" s="486">
        <f>SUMIF($A$5:$A$414,"=Unitron Hearing AS",L$5:L$414)</f>
        <v>69</v>
      </c>
      <c r="M485" s="487">
        <f>SUMIF($A$5:$A$414,"=Unitron Hearing AS",M$5:M$414)</f>
        <v>166</v>
      </c>
      <c r="N485" s="371">
        <f t="shared" si="251"/>
        <v>7.5030012004801924E-4</v>
      </c>
      <c r="O485" s="371">
        <f t="shared" si="252"/>
        <v>2.2350114544337041E-3</v>
      </c>
      <c r="P485" s="371">
        <f t="shared" si="253"/>
        <v>3.242944869937211E-3</v>
      </c>
      <c r="Q485" s="371">
        <f t="shared" si="256"/>
        <v>3.4431137724550897E-3</v>
      </c>
      <c r="R485" s="486">
        <f t="shared" ref="R485:W485" si="264">SUMIF($A$5:$A$414,"=Unitron Hearing AS",R$5:R$414)</f>
        <v>281590</v>
      </c>
      <c r="S485" s="486">
        <f t="shared" si="264"/>
        <v>13600</v>
      </c>
      <c r="T485" s="486">
        <f t="shared" si="264"/>
        <v>72054</v>
      </c>
      <c r="U485" s="486">
        <f t="shared" si="264"/>
        <v>72380</v>
      </c>
      <c r="V485" s="486">
        <f t="shared" si="264"/>
        <v>122510</v>
      </c>
      <c r="W485" s="486">
        <f t="shared" si="264"/>
        <v>280544</v>
      </c>
      <c r="X485" s="82">
        <f t="shared" si="255"/>
        <v>1.0807956166449665E-3</v>
      </c>
      <c r="Y485" s="228"/>
      <c r="Z485" s="31">
        <v>399</v>
      </c>
    </row>
    <row r="486" spans="1:26" ht="13.5" thickBot="1" x14ac:dyDescent="0.25">
      <c r="A486" s="29"/>
      <c r="B486" s="27"/>
      <c r="C486" s="27"/>
      <c r="D486" s="27" t="s">
        <v>5</v>
      </c>
      <c r="E486" s="165"/>
      <c r="F486" s="28"/>
      <c r="G486" s="61"/>
      <c r="H486" s="28"/>
      <c r="I486" s="61">
        <f t="shared" ref="I486:O486" si="265">SUM(I477:I485)</f>
        <v>13328</v>
      </c>
      <c r="J486" s="73">
        <f t="shared" si="265"/>
        <v>17897</v>
      </c>
      <c r="K486" s="73">
        <f t="shared" si="265"/>
        <v>14493</v>
      </c>
      <c r="L486" s="73">
        <f t="shared" si="265"/>
        <v>20040</v>
      </c>
      <c r="M486" s="74">
        <f t="shared" si="265"/>
        <v>65758</v>
      </c>
      <c r="N486" s="71">
        <f t="shared" si="265"/>
        <v>1</v>
      </c>
      <c r="O486" s="71">
        <f t="shared" si="265"/>
        <v>0.99999999999999989</v>
      </c>
      <c r="P486" s="71"/>
      <c r="Q486" s="71"/>
      <c r="R486" s="77">
        <f t="shared" ref="R486:X486" si="266">SUM(R477:R485)</f>
        <v>260539546.66666666</v>
      </c>
      <c r="S486" s="77">
        <f t="shared" si="266"/>
        <v>49808169</v>
      </c>
      <c r="T486" s="77">
        <f t="shared" si="266"/>
        <v>69051101</v>
      </c>
      <c r="U486" s="77">
        <f t="shared" si="266"/>
        <v>56758956</v>
      </c>
      <c r="V486" s="77">
        <f t="shared" si="266"/>
        <v>78796133</v>
      </c>
      <c r="W486" s="73">
        <f t="shared" si="266"/>
        <v>254414359</v>
      </c>
      <c r="X486" s="36">
        <f t="shared" si="266"/>
        <v>1</v>
      </c>
      <c r="Y486" s="231"/>
      <c r="Z486" s="31">
        <v>402</v>
      </c>
    </row>
    <row r="487" spans="1:26" x14ac:dyDescent="0.15">
      <c r="W487" s="345">
        <f>SUM(S486:U486)</f>
        <v>175618226</v>
      </c>
      <c r="Z487" s="31">
        <v>403</v>
      </c>
    </row>
    <row r="488" spans="1:26" ht="12.75" x14ac:dyDescent="0.2">
      <c r="A488" s="488" t="s">
        <v>30</v>
      </c>
      <c r="B488" s="489"/>
      <c r="C488" s="489"/>
      <c r="D488" s="490"/>
      <c r="E488" s="491"/>
      <c r="F488" s="355"/>
      <c r="G488" s="355"/>
      <c r="H488" s="65"/>
      <c r="I488" s="65"/>
      <c r="J488" s="492"/>
      <c r="K488" s="492"/>
      <c r="L488" s="493"/>
      <c r="M488" s="494"/>
      <c r="N488" s="495"/>
      <c r="O488" s="495"/>
      <c r="P488" s="495"/>
      <c r="Q488" s="495"/>
      <c r="R488" s="65"/>
      <c r="S488" s="65"/>
      <c r="T488" s="65"/>
      <c r="U488" s="65"/>
      <c r="V488" s="65"/>
      <c r="W488" s="489"/>
      <c r="X488" s="65"/>
      <c r="Y488" s="496"/>
    </row>
    <row r="489" spans="1:26" ht="12.75" x14ac:dyDescent="0.2">
      <c r="A489" s="346"/>
      <c r="D489" s="55" t="s">
        <v>698</v>
      </c>
      <c r="E489" s="347"/>
      <c r="F489" s="348"/>
      <c r="G489" s="348"/>
      <c r="H489" s="31"/>
      <c r="I489" s="213"/>
      <c r="J489" s="349"/>
      <c r="K489" s="349"/>
      <c r="N489" s="31"/>
      <c r="O489" s="31"/>
      <c r="P489" s="31"/>
      <c r="Q489" s="31"/>
      <c r="R489" s="31"/>
      <c r="S489" s="31"/>
      <c r="T489" s="31"/>
      <c r="U489" s="31"/>
      <c r="V489" s="31"/>
      <c r="W489" s="55"/>
    </row>
    <row r="490" spans="1:26" ht="11.25" thickBot="1" x14ac:dyDescent="0.2">
      <c r="A490" s="350" t="s">
        <v>153</v>
      </c>
      <c r="B490" s="351" t="s">
        <v>6</v>
      </c>
      <c r="C490" s="351"/>
      <c r="D490" s="351" t="s">
        <v>7</v>
      </c>
      <c r="E490" s="352" t="s">
        <v>8</v>
      </c>
      <c r="F490" s="353" t="s">
        <v>105</v>
      </c>
      <c r="G490" s="353" t="s">
        <v>135</v>
      </c>
      <c r="H490" s="354"/>
      <c r="I490" s="355" t="s">
        <v>9</v>
      </c>
      <c r="J490" s="355" t="s">
        <v>10</v>
      </c>
      <c r="K490" s="355" t="s">
        <v>11</v>
      </c>
      <c r="L490" s="355" t="s">
        <v>12</v>
      </c>
      <c r="M490" s="356" t="s">
        <v>13</v>
      </c>
      <c r="N490" s="80" t="s">
        <v>44</v>
      </c>
      <c r="O490" s="80" t="s">
        <v>53</v>
      </c>
      <c r="P490" s="80" t="s">
        <v>56</v>
      </c>
      <c r="Q490" s="80"/>
      <c r="R490" s="80" t="s">
        <v>32</v>
      </c>
      <c r="S490" s="357" t="s">
        <v>58</v>
      </c>
      <c r="T490" s="357" t="s">
        <v>59</v>
      </c>
      <c r="U490" s="357" t="s">
        <v>60</v>
      </c>
      <c r="V490" s="357" t="s">
        <v>61</v>
      </c>
      <c r="W490" s="80" t="s">
        <v>48</v>
      </c>
    </row>
    <row r="491" spans="1:26" ht="12.75" hidden="1" outlineLevel="2" x14ac:dyDescent="0.2">
      <c r="A491" s="251" t="s">
        <v>388</v>
      </c>
      <c r="B491" s="251" t="s">
        <v>95</v>
      </c>
      <c r="C491" s="251" t="s">
        <v>521</v>
      </c>
      <c r="D491" s="251" t="s">
        <v>526</v>
      </c>
      <c r="E491" s="252" t="s">
        <v>16</v>
      </c>
      <c r="F491" s="253" t="s">
        <v>106</v>
      </c>
      <c r="G491" s="267" t="s">
        <v>515</v>
      </c>
      <c r="H491" s="425" t="s">
        <v>527</v>
      </c>
      <c r="I491" s="259">
        <v>432</v>
      </c>
      <c r="J491" s="259">
        <v>1172</v>
      </c>
      <c r="K491" s="259">
        <v>960</v>
      </c>
      <c r="L491" s="259">
        <v>1304</v>
      </c>
      <c r="M491" s="268">
        <f t="shared" ref="M491:M500" si="267">SUM(I491:L491)</f>
        <v>3868</v>
      </c>
      <c r="N491" s="255">
        <v>4816</v>
      </c>
      <c r="O491" s="255">
        <v>4816</v>
      </c>
      <c r="P491" s="255">
        <v>4873</v>
      </c>
      <c r="Q491" s="255">
        <v>4873</v>
      </c>
      <c r="R491" s="262">
        <f t="shared" ref="R491:R500" si="268">SUMPRODUCT(I491:L491,N491:Q491)</f>
        <v>18757336</v>
      </c>
      <c r="S491" s="269">
        <f t="shared" ref="S491:S500" si="269">IF(N491&gt;prisgrense,I491*prisgrense,I491*N491)</f>
        <v>1963008</v>
      </c>
      <c r="T491" s="269">
        <f t="shared" ref="T491:T500" si="270">IF(O491&gt;prisgrense,J491*prisgrense,J491*O491)</f>
        <v>5325568</v>
      </c>
      <c r="U491" s="269">
        <f t="shared" ref="U491:U500" si="271">IF(P491&gt;prisgrense,K491*prisgrense,K491*P491)</f>
        <v>4362240</v>
      </c>
      <c r="V491" s="269">
        <f t="shared" ref="V491:V500" si="272">IF(Q491&gt;prisgrense,L491*prisgrense,L491*Q491)</f>
        <v>5925376</v>
      </c>
      <c r="W491" s="262">
        <f t="shared" ref="W491:W500" si="273">SUM(S491:V491)</f>
        <v>17576192</v>
      </c>
      <c r="X491" s="55"/>
      <c r="Y491" s="224"/>
    </row>
    <row r="492" spans="1:26" ht="12.75" hidden="1" outlineLevel="2" x14ac:dyDescent="0.2">
      <c r="A492" s="251" t="s">
        <v>377</v>
      </c>
      <c r="B492" s="251" t="s">
        <v>378</v>
      </c>
      <c r="C492" s="251"/>
      <c r="D492" s="251" t="s">
        <v>514</v>
      </c>
      <c r="E492" s="252" t="s">
        <v>16</v>
      </c>
      <c r="F492" s="253" t="s">
        <v>106</v>
      </c>
      <c r="G492" s="267" t="s">
        <v>515</v>
      </c>
      <c r="H492" s="425" t="s">
        <v>516</v>
      </c>
      <c r="I492" s="259">
        <v>111</v>
      </c>
      <c r="J492" s="259">
        <v>622</v>
      </c>
      <c r="K492" s="259">
        <v>866</v>
      </c>
      <c r="L492" s="259">
        <v>1634</v>
      </c>
      <c r="M492" s="268">
        <f t="shared" si="267"/>
        <v>3233</v>
      </c>
      <c r="N492" s="255">
        <v>4200</v>
      </c>
      <c r="O492" s="255">
        <v>4200</v>
      </c>
      <c r="P492" s="255">
        <v>4200</v>
      </c>
      <c r="Q492" s="255">
        <v>4200</v>
      </c>
      <c r="R492" s="262">
        <f t="shared" si="268"/>
        <v>13578600</v>
      </c>
      <c r="S492" s="269">
        <f t="shared" si="269"/>
        <v>466200</v>
      </c>
      <c r="T492" s="269">
        <f t="shared" si="270"/>
        <v>2612400</v>
      </c>
      <c r="U492" s="269">
        <f t="shared" si="271"/>
        <v>3637200</v>
      </c>
      <c r="V492" s="269">
        <f t="shared" si="272"/>
        <v>6862800</v>
      </c>
      <c r="W492" s="262">
        <f t="shared" si="273"/>
        <v>13578600</v>
      </c>
      <c r="X492" s="55"/>
      <c r="Y492" s="224"/>
    </row>
    <row r="493" spans="1:26" ht="12.75" hidden="1" outlineLevel="2" x14ac:dyDescent="0.2">
      <c r="A493" s="251" t="s">
        <v>375</v>
      </c>
      <c r="B493" s="251" t="s">
        <v>376</v>
      </c>
      <c r="C493" s="251" t="s">
        <v>292</v>
      </c>
      <c r="D493" s="251" t="s">
        <v>293</v>
      </c>
      <c r="E493" s="252" t="s">
        <v>16</v>
      </c>
      <c r="F493" s="253" t="s">
        <v>108</v>
      </c>
      <c r="G493" s="267">
        <v>2</v>
      </c>
      <c r="H493" s="267">
        <v>1</v>
      </c>
      <c r="I493" s="268">
        <v>886</v>
      </c>
      <c r="J493" s="268">
        <v>1118</v>
      </c>
      <c r="K493" s="259">
        <v>710</v>
      </c>
      <c r="L493" s="259">
        <v>434</v>
      </c>
      <c r="M493" s="260">
        <f t="shared" si="267"/>
        <v>3148</v>
      </c>
      <c r="N493" s="255">
        <v>2990</v>
      </c>
      <c r="O493" s="255">
        <v>2990</v>
      </c>
      <c r="P493" s="255">
        <v>2990</v>
      </c>
      <c r="Q493" s="255">
        <v>2990</v>
      </c>
      <c r="R493" s="262">
        <f t="shared" si="268"/>
        <v>9412520</v>
      </c>
      <c r="S493" s="269">
        <f t="shared" si="269"/>
        <v>2649140</v>
      </c>
      <c r="T493" s="269">
        <f t="shared" si="270"/>
        <v>3342820</v>
      </c>
      <c r="U493" s="269">
        <f t="shared" si="271"/>
        <v>2122900</v>
      </c>
      <c r="V493" s="269">
        <f t="shared" si="272"/>
        <v>1297660</v>
      </c>
      <c r="W493" s="262">
        <f t="shared" si="273"/>
        <v>9412520</v>
      </c>
      <c r="X493" s="55" t="s">
        <v>582</v>
      </c>
      <c r="Y493" s="224"/>
      <c r="Z493" s="31">
        <v>60</v>
      </c>
    </row>
    <row r="494" spans="1:26" ht="12.75" hidden="1" outlineLevel="2" x14ac:dyDescent="0.2">
      <c r="A494" s="251" t="s">
        <v>1</v>
      </c>
      <c r="B494" s="251" t="s">
        <v>379</v>
      </c>
      <c r="C494" s="251"/>
      <c r="D494" s="251" t="s">
        <v>320</v>
      </c>
      <c r="E494" s="252" t="s">
        <v>16</v>
      </c>
      <c r="F494" s="253" t="s">
        <v>106</v>
      </c>
      <c r="G494" s="267">
        <v>2</v>
      </c>
      <c r="H494" s="267">
        <v>5</v>
      </c>
      <c r="I494" s="259">
        <v>505</v>
      </c>
      <c r="J494" s="259">
        <v>766</v>
      </c>
      <c r="K494" s="259">
        <v>581</v>
      </c>
      <c r="L494" s="259">
        <v>869</v>
      </c>
      <c r="M494" s="260">
        <f t="shared" si="267"/>
        <v>2721</v>
      </c>
      <c r="N494" s="255">
        <v>3750</v>
      </c>
      <c r="O494" s="255">
        <v>3750</v>
      </c>
      <c r="P494" s="255">
        <v>3750</v>
      </c>
      <c r="Q494" s="255">
        <v>3750</v>
      </c>
      <c r="R494" s="262">
        <f t="shared" si="268"/>
        <v>10203750</v>
      </c>
      <c r="S494" s="269">
        <f t="shared" si="269"/>
        <v>1893750</v>
      </c>
      <c r="T494" s="269">
        <f t="shared" si="270"/>
        <v>2872500</v>
      </c>
      <c r="U494" s="269">
        <f t="shared" si="271"/>
        <v>2178750</v>
      </c>
      <c r="V494" s="269">
        <f t="shared" si="272"/>
        <v>3258750</v>
      </c>
      <c r="W494" s="262">
        <f t="shared" si="273"/>
        <v>10203750</v>
      </c>
      <c r="X494" s="55"/>
      <c r="Y494" s="55"/>
      <c r="Z494" s="31">
        <v>76</v>
      </c>
    </row>
    <row r="495" spans="1:26" ht="12.75" hidden="1" outlineLevel="2" x14ac:dyDescent="0.2">
      <c r="A495" s="251" t="s">
        <v>1</v>
      </c>
      <c r="B495" s="251" t="s">
        <v>379</v>
      </c>
      <c r="C495" s="251" t="s">
        <v>319</v>
      </c>
      <c r="D495" s="251" t="s">
        <v>166</v>
      </c>
      <c r="E495" s="252" t="s">
        <v>16</v>
      </c>
      <c r="F495" s="253" t="s">
        <v>108</v>
      </c>
      <c r="G495" s="267">
        <v>2</v>
      </c>
      <c r="H495" s="267">
        <v>5</v>
      </c>
      <c r="I495" s="259">
        <v>528</v>
      </c>
      <c r="J495" s="259">
        <v>697</v>
      </c>
      <c r="K495" s="259">
        <v>615</v>
      </c>
      <c r="L495" s="259">
        <v>796</v>
      </c>
      <c r="M495" s="260">
        <f t="shared" si="267"/>
        <v>2636</v>
      </c>
      <c r="N495" s="255">
        <v>3750</v>
      </c>
      <c r="O495" s="255">
        <v>3750</v>
      </c>
      <c r="P495" s="255">
        <v>3750</v>
      </c>
      <c r="Q495" s="255">
        <v>3750</v>
      </c>
      <c r="R495" s="262">
        <f t="shared" si="268"/>
        <v>9885000</v>
      </c>
      <c r="S495" s="269">
        <f t="shared" si="269"/>
        <v>1980000</v>
      </c>
      <c r="T495" s="269">
        <f t="shared" si="270"/>
        <v>2613750</v>
      </c>
      <c r="U495" s="269">
        <f t="shared" si="271"/>
        <v>2306250</v>
      </c>
      <c r="V495" s="269">
        <f t="shared" si="272"/>
        <v>2985000</v>
      </c>
      <c r="W495" s="262">
        <f t="shared" si="273"/>
        <v>9885000</v>
      </c>
      <c r="X495" s="55"/>
      <c r="Y495" s="55"/>
      <c r="Z495" s="31">
        <v>76</v>
      </c>
    </row>
    <row r="496" spans="1:26" ht="12.75" hidden="1" outlineLevel="2" x14ac:dyDescent="0.2">
      <c r="A496" s="251" t="s">
        <v>384</v>
      </c>
      <c r="B496" s="251" t="s">
        <v>385</v>
      </c>
      <c r="C496" s="251" t="s">
        <v>496</v>
      </c>
      <c r="D496" s="300" t="s">
        <v>505</v>
      </c>
      <c r="E496" s="252" t="s">
        <v>16</v>
      </c>
      <c r="F496" s="253" t="s">
        <v>106</v>
      </c>
      <c r="G496" s="267">
        <v>2</v>
      </c>
      <c r="H496" s="267">
        <v>11</v>
      </c>
      <c r="I496" s="268">
        <v>49</v>
      </c>
      <c r="J496" s="268">
        <v>591</v>
      </c>
      <c r="K496" s="259">
        <v>717</v>
      </c>
      <c r="L496" s="259">
        <v>1040</v>
      </c>
      <c r="M496" s="260">
        <f t="shared" si="267"/>
        <v>2397</v>
      </c>
      <c r="N496" s="255">
        <v>5057</v>
      </c>
      <c r="O496" s="255">
        <v>5057</v>
      </c>
      <c r="P496" s="255">
        <v>5057</v>
      </c>
      <c r="Q496" s="255">
        <v>5057</v>
      </c>
      <c r="R496" s="262">
        <f t="shared" si="268"/>
        <v>12121629</v>
      </c>
      <c r="S496" s="269">
        <f t="shared" si="269"/>
        <v>222656</v>
      </c>
      <c r="T496" s="269">
        <f t="shared" si="270"/>
        <v>2685504</v>
      </c>
      <c r="U496" s="269">
        <f t="shared" si="271"/>
        <v>3258048</v>
      </c>
      <c r="V496" s="269">
        <f t="shared" si="272"/>
        <v>4725760</v>
      </c>
      <c r="W496" s="262">
        <f t="shared" si="273"/>
        <v>10891968</v>
      </c>
      <c r="X496" s="55" t="s">
        <v>509</v>
      </c>
      <c r="Y496" s="224"/>
    </row>
    <row r="497" spans="1:26" ht="12.75" hidden="1" outlineLevel="2" x14ac:dyDescent="0.2">
      <c r="A497" s="251" t="s">
        <v>384</v>
      </c>
      <c r="B497" s="251" t="s">
        <v>385</v>
      </c>
      <c r="C497" s="251" t="s">
        <v>495</v>
      </c>
      <c r="D497" s="300" t="s">
        <v>499</v>
      </c>
      <c r="E497" s="252" t="s">
        <v>16</v>
      </c>
      <c r="F497" s="253" t="s">
        <v>106</v>
      </c>
      <c r="G497" s="267">
        <v>2</v>
      </c>
      <c r="H497" s="267">
        <v>10</v>
      </c>
      <c r="I497" s="259">
        <v>10</v>
      </c>
      <c r="J497" s="259">
        <v>391</v>
      </c>
      <c r="K497" s="259">
        <v>673</v>
      </c>
      <c r="L497" s="259">
        <v>1141</v>
      </c>
      <c r="M497" s="260">
        <f t="shared" si="267"/>
        <v>2215</v>
      </c>
      <c r="N497" s="255">
        <v>4450</v>
      </c>
      <c r="O497" s="255">
        <v>4450</v>
      </c>
      <c r="P497" s="255">
        <v>4450</v>
      </c>
      <c r="Q497" s="255">
        <v>4450</v>
      </c>
      <c r="R497" s="262">
        <f t="shared" si="268"/>
        <v>9856750</v>
      </c>
      <c r="S497" s="269">
        <f t="shared" si="269"/>
        <v>44500</v>
      </c>
      <c r="T497" s="269">
        <f t="shared" si="270"/>
        <v>1739950</v>
      </c>
      <c r="U497" s="269">
        <f t="shared" si="271"/>
        <v>2994850</v>
      </c>
      <c r="V497" s="269">
        <f t="shared" si="272"/>
        <v>5077450</v>
      </c>
      <c r="W497" s="262">
        <f t="shared" si="273"/>
        <v>9856750</v>
      </c>
      <c r="X497" s="55" t="s">
        <v>509</v>
      </c>
      <c r="Y497" s="55"/>
    </row>
    <row r="498" spans="1:26" ht="12.75" hidden="1" outlineLevel="2" x14ac:dyDescent="0.2">
      <c r="A498" s="251" t="s">
        <v>382</v>
      </c>
      <c r="B498" s="251" t="s">
        <v>383</v>
      </c>
      <c r="C498" s="251" t="s">
        <v>201</v>
      </c>
      <c r="D498" s="251" t="s">
        <v>315</v>
      </c>
      <c r="E498" s="252" t="s">
        <v>16</v>
      </c>
      <c r="F498" s="253" t="s">
        <v>106</v>
      </c>
      <c r="G498" s="267">
        <v>2</v>
      </c>
      <c r="H498" s="267">
        <v>5</v>
      </c>
      <c r="I498" s="259">
        <v>705</v>
      </c>
      <c r="J498" s="259">
        <v>656</v>
      </c>
      <c r="K498" s="259">
        <v>531</v>
      </c>
      <c r="L498" s="259">
        <v>39</v>
      </c>
      <c r="M498" s="260">
        <f t="shared" si="267"/>
        <v>1931</v>
      </c>
      <c r="N498" s="255">
        <v>3660</v>
      </c>
      <c r="O498" s="255">
        <v>3660</v>
      </c>
      <c r="P498" s="255">
        <v>3660</v>
      </c>
      <c r="Q498" s="255">
        <v>3660</v>
      </c>
      <c r="R498" s="262">
        <f t="shared" si="268"/>
        <v>7067460</v>
      </c>
      <c r="S498" s="269">
        <f t="shared" si="269"/>
        <v>2580300</v>
      </c>
      <c r="T498" s="269">
        <f t="shared" si="270"/>
        <v>2400960</v>
      </c>
      <c r="U498" s="269">
        <f t="shared" si="271"/>
        <v>1943460</v>
      </c>
      <c r="V498" s="269">
        <f t="shared" si="272"/>
        <v>142740</v>
      </c>
      <c r="W498" s="262">
        <f t="shared" si="273"/>
        <v>7067460</v>
      </c>
      <c r="X498" s="55" t="s">
        <v>582</v>
      </c>
      <c r="Y498" s="55"/>
      <c r="Z498" s="31">
        <v>76</v>
      </c>
    </row>
    <row r="499" spans="1:26" ht="12.75" hidden="1" outlineLevel="2" x14ac:dyDescent="0.2">
      <c r="A499" s="251" t="s">
        <v>1</v>
      </c>
      <c r="B499" s="251" t="s">
        <v>379</v>
      </c>
      <c r="C499" s="251"/>
      <c r="D499" s="251" t="s">
        <v>168</v>
      </c>
      <c r="E499" s="252" t="s">
        <v>16</v>
      </c>
      <c r="F499" s="253" t="s">
        <v>106</v>
      </c>
      <c r="G499" s="267">
        <v>2</v>
      </c>
      <c r="H499" s="267">
        <v>5</v>
      </c>
      <c r="I499" s="259">
        <v>397</v>
      </c>
      <c r="J499" s="259">
        <v>504</v>
      </c>
      <c r="K499" s="259">
        <v>414</v>
      </c>
      <c r="L499" s="259">
        <v>549</v>
      </c>
      <c r="M499" s="260">
        <f t="shared" si="267"/>
        <v>1864</v>
      </c>
      <c r="N499" s="255">
        <v>3750</v>
      </c>
      <c r="O499" s="255">
        <v>3750</v>
      </c>
      <c r="P499" s="255">
        <v>3750</v>
      </c>
      <c r="Q499" s="255">
        <v>3750</v>
      </c>
      <c r="R499" s="262">
        <f t="shared" si="268"/>
        <v>6990000</v>
      </c>
      <c r="S499" s="269">
        <f t="shared" si="269"/>
        <v>1488750</v>
      </c>
      <c r="T499" s="269">
        <f t="shared" si="270"/>
        <v>1890000</v>
      </c>
      <c r="U499" s="269">
        <f t="shared" si="271"/>
        <v>1552500</v>
      </c>
      <c r="V499" s="269">
        <f t="shared" si="272"/>
        <v>2058750</v>
      </c>
      <c r="W499" s="262">
        <f t="shared" si="273"/>
        <v>6990000</v>
      </c>
      <c r="X499" s="55"/>
      <c r="Y499" s="55"/>
      <c r="Z499" s="31">
        <v>76</v>
      </c>
    </row>
    <row r="500" spans="1:26" ht="13.5" hidden="1" outlineLevel="2" thickBot="1" x14ac:dyDescent="0.25">
      <c r="A500" s="251" t="s">
        <v>388</v>
      </c>
      <c r="B500" s="251" t="s">
        <v>95</v>
      </c>
      <c r="C500" s="251" t="s">
        <v>365</v>
      </c>
      <c r="D500" s="251" t="s">
        <v>369</v>
      </c>
      <c r="E500" s="252" t="s">
        <v>16</v>
      </c>
      <c r="F500" s="253" t="s">
        <v>106</v>
      </c>
      <c r="G500" s="267">
        <v>2</v>
      </c>
      <c r="H500" s="267">
        <v>12</v>
      </c>
      <c r="I500" s="268">
        <v>582</v>
      </c>
      <c r="J500" s="268">
        <v>484</v>
      </c>
      <c r="K500" s="259">
        <v>266</v>
      </c>
      <c r="L500" s="259">
        <v>209</v>
      </c>
      <c r="M500" s="260">
        <f t="shared" si="267"/>
        <v>1541</v>
      </c>
      <c r="N500" s="255">
        <v>4350</v>
      </c>
      <c r="O500" s="255">
        <v>4350</v>
      </c>
      <c r="P500" s="255">
        <v>4402</v>
      </c>
      <c r="Q500" s="255">
        <v>4402</v>
      </c>
      <c r="R500" s="262">
        <f t="shared" si="268"/>
        <v>6728050</v>
      </c>
      <c r="S500" s="269">
        <f t="shared" si="269"/>
        <v>2531700</v>
      </c>
      <c r="T500" s="269">
        <f t="shared" si="270"/>
        <v>2105400</v>
      </c>
      <c r="U500" s="269">
        <f t="shared" si="271"/>
        <v>1170932</v>
      </c>
      <c r="V500" s="269">
        <f t="shared" si="272"/>
        <v>920018</v>
      </c>
      <c r="W500" s="262">
        <f t="shared" si="273"/>
        <v>6728050</v>
      </c>
      <c r="X500" s="55"/>
      <c r="Y500" s="224"/>
      <c r="Z500" s="31">
        <v>85</v>
      </c>
    </row>
    <row r="501" spans="1:26" collapsed="1" x14ac:dyDescent="0.15">
      <c r="A501" s="358"/>
      <c r="B501" s="359"/>
      <c r="C501" s="359"/>
      <c r="D501" s="359" t="s">
        <v>5</v>
      </c>
      <c r="E501" s="360"/>
      <c r="F501" s="361"/>
      <c r="G501" s="361"/>
      <c r="H501" s="361"/>
      <c r="I501" s="362"/>
      <c r="J501" s="362"/>
      <c r="K501" s="362"/>
      <c r="L501" s="362"/>
      <c r="M501" s="363">
        <f>SUM(M491:M500)</f>
        <v>25554</v>
      </c>
      <c r="N501" s="364"/>
      <c r="O501" s="362"/>
      <c r="P501" s="364"/>
      <c r="Q501" s="365"/>
      <c r="R501" s="363">
        <f>SUM(R491:R500)</f>
        <v>104601095</v>
      </c>
      <c r="S501" s="364" t="e">
        <f>SUM(#REF!)</f>
        <v>#REF!</v>
      </c>
      <c r="T501" s="364" t="e">
        <f>SUM(#REF!)</f>
        <v>#REF!</v>
      </c>
      <c r="U501" s="364" t="e">
        <f>SUM(#REF!)</f>
        <v>#REF!</v>
      </c>
      <c r="V501" s="364"/>
      <c r="W501" s="363">
        <f>SUM(W491:W500)</f>
        <v>102190290</v>
      </c>
      <c r="X501" s="366"/>
      <c r="Y501" s="367"/>
      <c r="Z501" s="31">
        <v>418</v>
      </c>
    </row>
    <row r="502" spans="1:26" x14ac:dyDescent="0.15">
      <c r="I502" s="368"/>
      <c r="J502" s="368"/>
      <c r="K502" s="368"/>
      <c r="L502" s="368"/>
      <c r="M502" s="370">
        <f>M501/M486</f>
        <v>0.3886067094498008</v>
      </c>
      <c r="R502" s="370">
        <f>R501/R486</f>
        <v>0.4014787633519078</v>
      </c>
      <c r="U502" s="369" t="e">
        <f>U501/U486</f>
        <v>#REF!</v>
      </c>
      <c r="W502" s="370">
        <f>W501/W486</f>
        <v>0.40166872027848083</v>
      </c>
      <c r="X502" s="366"/>
      <c r="Y502" s="367"/>
      <c r="Z502" s="31">
        <v>419</v>
      </c>
    </row>
  </sheetData>
  <autoFilter ref="A1:AL502"/>
  <sortState ref="A519:AL562">
    <sortCondition descending="1" ref="M519:M562"/>
  </sortState>
  <dataConsolidate/>
  <printOptions horizontalCentered="1" gridLines="1"/>
  <pageMargins left="0.31496062992125984" right="0.23622047244094491" top="0.55118110236220474" bottom="0.47244094488188981" header="0.35433070866141736" footer="0.27559055118110237"/>
  <pageSetup paperSize="9" scale="77" fitToHeight="0" orientation="portrait" horizontalDpi="1200" verticalDpi="1200" r:id="rId1"/>
  <headerFooter alignWithMargins="0">
    <oddHeader>&amp;C&amp;13Høreapparater fakturert NAV  2013&amp;R&amp;8 31.01.2014 OA</oddHeader>
    <oddFooter>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9"/>
  <sheetViews>
    <sheetView tabSelected="1" zoomScaleNormal="100" workbookViewId="0">
      <pane xSplit="5" ySplit="3" topLeftCell="J4" activePane="bottomRight" state="frozen"/>
      <selection pane="topRight" activeCell="E1" sqref="E1"/>
      <selection pane="bottomLeft" activeCell="A3" sqref="A3"/>
      <selection pane="bottomRight" activeCell="X15" sqref="X15"/>
    </sheetView>
  </sheetViews>
  <sheetFormatPr baseColWidth="10" defaultColWidth="9.140625" defaultRowHeight="10.5" outlineLevelRow="2" x14ac:dyDescent="0.15"/>
  <cols>
    <col min="1" max="1" width="6" style="3" customWidth="1"/>
    <col min="2" max="2" width="4.140625" style="4" customWidth="1"/>
    <col min="3" max="3" width="7.7109375" style="4" customWidth="1"/>
    <col min="4" max="4" width="27.85546875" style="4" customWidth="1"/>
    <col min="5" max="5" width="7" style="159" customWidth="1"/>
    <col min="6" max="7" width="6.5703125" style="5" customWidth="1"/>
    <col min="8" max="8" width="4.7109375" style="5" customWidth="1"/>
    <col min="9" max="9" width="8.28515625" style="6" customWidth="1"/>
    <col min="10" max="10" width="7.7109375" style="12" customWidth="1"/>
    <col min="11" max="11" width="8" style="12" customWidth="1"/>
    <col min="12" max="12" width="7.85546875" style="12" customWidth="1"/>
    <col min="13" max="13" width="8.7109375" style="17" customWidth="1"/>
    <col min="14" max="15" width="8.7109375" style="7" hidden="1" customWidth="1"/>
    <col min="16" max="16" width="8.42578125" style="7" hidden="1" customWidth="1"/>
    <col min="17" max="17" width="8.7109375" style="7" customWidth="1"/>
    <col min="18" max="18" width="9.28515625" style="57" customWidth="1"/>
    <col min="19" max="19" width="9.42578125" style="57" hidden="1" customWidth="1"/>
    <col min="20" max="20" width="9.85546875" style="57" hidden="1" customWidth="1"/>
    <col min="21" max="22" width="8.7109375" style="57" hidden="1" customWidth="1"/>
    <col min="23" max="23" width="9.42578125" style="6" customWidth="1"/>
    <col min="24" max="24" width="21.7109375" style="19" customWidth="1"/>
    <col min="25" max="25" width="20.5703125" style="226" customWidth="1"/>
    <col min="26" max="26" width="4.5703125" style="19" hidden="1" customWidth="1"/>
    <col min="27" max="28" width="9.140625" style="19"/>
    <col min="29" max="16384" width="9.140625" style="6"/>
  </cols>
  <sheetData>
    <row r="1" spans="1:38" s="41" customFormat="1" x14ac:dyDescent="0.15">
      <c r="A1" s="38" t="s">
        <v>153</v>
      </c>
      <c r="B1" s="39" t="s">
        <v>6</v>
      </c>
      <c r="C1" s="39" t="s">
        <v>163</v>
      </c>
      <c r="D1" s="39" t="s">
        <v>7</v>
      </c>
      <c r="E1" s="157" t="s">
        <v>8</v>
      </c>
      <c r="F1" s="40" t="s">
        <v>105</v>
      </c>
      <c r="G1" s="40" t="s">
        <v>135</v>
      </c>
      <c r="H1" s="40" t="s">
        <v>154</v>
      </c>
      <c r="I1" s="41" t="s">
        <v>9</v>
      </c>
      <c r="J1" s="41" t="s">
        <v>10</v>
      </c>
      <c r="K1" s="41" t="s">
        <v>11</v>
      </c>
      <c r="L1" s="41" t="s">
        <v>12</v>
      </c>
      <c r="M1" s="42" t="s">
        <v>13</v>
      </c>
      <c r="N1" s="43" t="s">
        <v>44</v>
      </c>
      <c r="O1" s="43" t="s">
        <v>53</v>
      </c>
      <c r="P1" s="43" t="s">
        <v>56</v>
      </c>
      <c r="Q1" s="43" t="s">
        <v>57</v>
      </c>
      <c r="R1" s="80" t="s">
        <v>32</v>
      </c>
      <c r="S1" s="79" t="s">
        <v>58</v>
      </c>
      <c r="T1" s="79" t="s">
        <v>59</v>
      </c>
      <c r="U1" s="79" t="s">
        <v>60</v>
      </c>
      <c r="V1" s="79" t="s">
        <v>61</v>
      </c>
      <c r="W1" s="43" t="s">
        <v>48</v>
      </c>
      <c r="X1" s="67" t="s">
        <v>62</v>
      </c>
      <c r="Y1" s="221"/>
      <c r="Z1" s="19">
        <v>1</v>
      </c>
      <c r="AA1" s="45"/>
      <c r="AB1" s="19"/>
    </row>
    <row r="2" spans="1:38" s="44" customFormat="1" x14ac:dyDescent="0.15">
      <c r="A2" s="309"/>
      <c r="B2" s="67"/>
      <c r="C2" s="67"/>
      <c r="D2" s="67"/>
      <c r="E2" s="310"/>
      <c r="F2" s="218"/>
      <c r="G2" s="218"/>
      <c r="H2" s="218"/>
      <c r="M2" s="311"/>
      <c r="N2" s="88"/>
      <c r="O2" s="88"/>
      <c r="P2" s="88"/>
      <c r="Q2" s="88"/>
      <c r="R2" s="312"/>
      <c r="S2" s="313"/>
      <c r="T2" s="313"/>
      <c r="U2" s="313"/>
      <c r="V2" s="313"/>
      <c r="W2" s="88"/>
      <c r="X2" s="67"/>
      <c r="Y2" s="221"/>
      <c r="Z2" s="19"/>
      <c r="AA2" s="52"/>
      <c r="AB2" s="19"/>
    </row>
    <row r="3" spans="1:38" s="49" customFormat="1" outlineLevel="2" x14ac:dyDescent="0.15">
      <c r="A3" s="46"/>
      <c r="B3" s="47"/>
      <c r="C3" s="47"/>
      <c r="D3" s="314" t="s">
        <v>565</v>
      </c>
      <c r="E3" s="158"/>
      <c r="F3" s="48"/>
      <c r="G3" s="48"/>
      <c r="H3" s="48" t="s">
        <v>155</v>
      </c>
      <c r="I3" s="49" t="s">
        <v>14</v>
      </c>
      <c r="J3" s="49" t="s">
        <v>14</v>
      </c>
      <c r="K3" s="49" t="s">
        <v>14</v>
      </c>
      <c r="L3" s="49" t="s">
        <v>14</v>
      </c>
      <c r="M3" s="50" t="s">
        <v>14</v>
      </c>
      <c r="N3" s="51" t="s">
        <v>15</v>
      </c>
      <c r="O3" s="51" t="s">
        <v>15</v>
      </c>
      <c r="P3" s="51" t="s">
        <v>15</v>
      </c>
      <c r="Q3" s="51" t="s">
        <v>15</v>
      </c>
      <c r="R3" s="81" t="s">
        <v>33</v>
      </c>
      <c r="S3" s="78" t="s">
        <v>33</v>
      </c>
      <c r="T3" s="78" t="s">
        <v>33</v>
      </c>
      <c r="U3" s="78" t="s">
        <v>33</v>
      </c>
      <c r="V3" s="78" t="s">
        <v>33</v>
      </c>
      <c r="W3" s="51" t="s">
        <v>33</v>
      </c>
      <c r="X3" s="67"/>
      <c r="Y3" s="221"/>
      <c r="Z3" s="19">
        <v>2</v>
      </c>
      <c r="AA3" s="52"/>
      <c r="AB3" s="19"/>
    </row>
    <row r="4" spans="1:38" ht="12.75" outlineLevel="2" x14ac:dyDescent="0.2">
      <c r="A4" s="251" t="s">
        <v>388</v>
      </c>
      <c r="B4" s="251" t="s">
        <v>95</v>
      </c>
      <c r="C4" s="251"/>
      <c r="D4" s="251" t="s">
        <v>457</v>
      </c>
      <c r="E4" s="252" t="s">
        <v>463</v>
      </c>
      <c r="F4" s="257" t="s">
        <v>464</v>
      </c>
      <c r="G4" s="254" t="s">
        <v>467</v>
      </c>
      <c r="H4" s="271">
        <v>1</v>
      </c>
      <c r="I4" s="258"/>
      <c r="J4" s="258">
        <v>1</v>
      </c>
      <c r="K4" s="258">
        <v>0</v>
      </c>
      <c r="L4" s="330">
        <v>0</v>
      </c>
      <c r="M4" s="333">
        <f t="shared" ref="M4:M13" si="0">SUM(I4:L4)</f>
        <v>1</v>
      </c>
      <c r="N4" s="255">
        <v>2800</v>
      </c>
      <c r="O4" s="255">
        <v>2800</v>
      </c>
      <c r="P4" s="255">
        <v>2833</v>
      </c>
      <c r="Q4" s="255">
        <v>2800</v>
      </c>
      <c r="R4" s="262">
        <f t="shared" ref="R4:R13" si="1">SUMPRODUCT(I4:L4,N4:Q4)</f>
        <v>2800</v>
      </c>
      <c r="S4" s="263">
        <f t="shared" ref="S4:V5" si="2">IF(N4&gt;PrisgrenseTM,I4*PrisgrenseTM,I4*N4)</f>
        <v>0</v>
      </c>
      <c r="T4" s="263">
        <f t="shared" si="2"/>
        <v>2608</v>
      </c>
      <c r="U4" s="263">
        <f t="shared" si="2"/>
        <v>0</v>
      </c>
      <c r="V4" s="263">
        <f t="shared" si="2"/>
        <v>0</v>
      </c>
      <c r="W4" s="261">
        <f t="shared" ref="W4:W13" si="3">SUM(S4:V4)</f>
        <v>2608</v>
      </c>
      <c r="X4" s="11"/>
      <c r="Y4" s="223"/>
      <c r="Z4" s="19">
        <v>193</v>
      </c>
    </row>
    <row r="5" spans="1:38" ht="12.75" outlineLevel="2" x14ac:dyDescent="0.2">
      <c r="A5" s="251" t="s">
        <v>386</v>
      </c>
      <c r="B5" s="251" t="s">
        <v>387</v>
      </c>
      <c r="C5" s="251"/>
      <c r="D5" s="251" t="s">
        <v>458</v>
      </c>
      <c r="E5" s="252" t="s">
        <v>17</v>
      </c>
      <c r="F5" s="257" t="s">
        <v>464</v>
      </c>
      <c r="G5" s="254" t="s">
        <v>467</v>
      </c>
      <c r="H5" s="271">
        <v>2</v>
      </c>
      <c r="I5" s="258">
        <v>2</v>
      </c>
      <c r="J5" s="258">
        <v>1</v>
      </c>
      <c r="K5" s="258"/>
      <c r="L5" s="330">
        <v>1</v>
      </c>
      <c r="M5" s="333">
        <f t="shared" si="0"/>
        <v>4</v>
      </c>
      <c r="N5" s="255">
        <v>2840</v>
      </c>
      <c r="O5" s="255">
        <v>2840</v>
      </c>
      <c r="P5" s="255">
        <v>2874</v>
      </c>
      <c r="Q5" s="255">
        <v>2874</v>
      </c>
      <c r="R5" s="262">
        <f t="shared" si="1"/>
        <v>11394</v>
      </c>
      <c r="S5" s="263">
        <f t="shared" si="2"/>
        <v>5216</v>
      </c>
      <c r="T5" s="263">
        <f t="shared" si="2"/>
        <v>2608</v>
      </c>
      <c r="U5" s="263">
        <f t="shared" si="2"/>
        <v>0</v>
      </c>
      <c r="V5" s="263">
        <f t="shared" si="2"/>
        <v>2608</v>
      </c>
      <c r="W5" s="261">
        <f t="shared" si="3"/>
        <v>10432</v>
      </c>
      <c r="X5" s="11"/>
      <c r="Y5" s="223"/>
      <c r="Z5" s="19">
        <v>194</v>
      </c>
    </row>
    <row r="6" spans="1:38" ht="12.75" outlineLevel="2" x14ac:dyDescent="0.2">
      <c r="A6" s="272"/>
      <c r="B6" s="272"/>
      <c r="C6" s="272"/>
      <c r="D6" s="272"/>
      <c r="E6" s="273"/>
      <c r="F6" s="274"/>
      <c r="G6" s="275"/>
      <c r="H6" s="256"/>
      <c r="J6" s="6"/>
      <c r="K6" s="6"/>
      <c r="L6" s="6"/>
      <c r="M6" s="214"/>
      <c r="N6" s="276"/>
      <c r="O6" s="276"/>
      <c r="P6" s="276"/>
      <c r="Q6" s="276"/>
      <c r="R6" s="57">
        <f>R4+R5</f>
        <v>14194</v>
      </c>
      <c r="S6" s="263"/>
      <c r="T6" s="263"/>
      <c r="U6" s="263"/>
      <c r="V6" s="263"/>
      <c r="W6" s="7"/>
      <c r="X6" s="11"/>
      <c r="Y6" s="11"/>
    </row>
    <row r="7" spans="1:38" ht="12.75" outlineLevel="2" x14ac:dyDescent="0.2">
      <c r="A7" s="251" t="s">
        <v>386</v>
      </c>
      <c r="B7" s="251" t="s">
        <v>387</v>
      </c>
      <c r="C7" s="251"/>
      <c r="D7" s="251" t="s">
        <v>459</v>
      </c>
      <c r="E7" s="252" t="s">
        <v>16</v>
      </c>
      <c r="F7" s="253" t="s">
        <v>108</v>
      </c>
      <c r="G7" s="254" t="s">
        <v>164</v>
      </c>
      <c r="H7" s="271">
        <v>1</v>
      </c>
      <c r="I7" s="258">
        <v>37</v>
      </c>
      <c r="J7" s="258">
        <v>44</v>
      </c>
      <c r="K7" s="258">
        <v>29</v>
      </c>
      <c r="L7" s="330">
        <v>31</v>
      </c>
      <c r="M7" s="333">
        <f t="shared" si="0"/>
        <v>141</v>
      </c>
      <c r="N7" s="255">
        <v>2840</v>
      </c>
      <c r="O7" s="255">
        <v>2840</v>
      </c>
      <c r="P7" s="255">
        <v>2874</v>
      </c>
      <c r="Q7" s="255">
        <v>2874</v>
      </c>
      <c r="R7" s="262">
        <f t="shared" si="1"/>
        <v>402480</v>
      </c>
      <c r="S7" s="263">
        <f t="shared" ref="S7:V8" si="4">IF(N7&gt;PrisgrenseTM,I7*PrisgrenseTM,I7*N7)</f>
        <v>96496</v>
      </c>
      <c r="T7" s="263">
        <f t="shared" si="4"/>
        <v>114752</v>
      </c>
      <c r="U7" s="263">
        <f t="shared" si="4"/>
        <v>75632</v>
      </c>
      <c r="V7" s="263">
        <f t="shared" si="4"/>
        <v>80848</v>
      </c>
      <c r="W7" s="261">
        <f>SUM(S7:V7)</f>
        <v>367728</v>
      </c>
      <c r="X7" s="11"/>
      <c r="Y7" s="11"/>
    </row>
    <row r="8" spans="1:38" ht="12.75" outlineLevel="2" x14ac:dyDescent="0.2">
      <c r="A8" s="251" t="s">
        <v>386</v>
      </c>
      <c r="B8" s="251" t="s">
        <v>387</v>
      </c>
      <c r="C8" s="251"/>
      <c r="D8" s="251" t="s">
        <v>460</v>
      </c>
      <c r="E8" s="252" t="s">
        <v>16</v>
      </c>
      <c r="F8" s="253" t="s">
        <v>106</v>
      </c>
      <c r="G8" s="254" t="s">
        <v>164</v>
      </c>
      <c r="H8" s="271">
        <v>2</v>
      </c>
      <c r="I8" s="258">
        <v>6</v>
      </c>
      <c r="J8" s="258">
        <v>13</v>
      </c>
      <c r="K8" s="261">
        <v>4</v>
      </c>
      <c r="L8" s="331">
        <v>8</v>
      </c>
      <c r="M8" s="334">
        <f>SUM(I8:L8)</f>
        <v>31</v>
      </c>
      <c r="N8" s="255">
        <v>2840</v>
      </c>
      <c r="O8" s="255">
        <v>2840</v>
      </c>
      <c r="P8" s="255">
        <v>2874</v>
      </c>
      <c r="Q8" s="255">
        <v>2874</v>
      </c>
      <c r="R8" s="258">
        <f t="shared" si="1"/>
        <v>88448</v>
      </c>
      <c r="S8" s="263">
        <f t="shared" si="4"/>
        <v>15648</v>
      </c>
      <c r="T8" s="263">
        <f t="shared" si="4"/>
        <v>33904</v>
      </c>
      <c r="U8" s="263">
        <f t="shared" si="4"/>
        <v>10432</v>
      </c>
      <c r="V8" s="263">
        <f t="shared" si="4"/>
        <v>20864</v>
      </c>
      <c r="W8" s="258">
        <f>SUM(S8:V8)</f>
        <v>80848</v>
      </c>
      <c r="X8" s="6"/>
      <c r="Y8" s="6"/>
      <c r="Z8" s="6"/>
    </row>
    <row r="9" spans="1:38" ht="12.75" outlineLevel="2" x14ac:dyDescent="0.2">
      <c r="A9" s="251"/>
      <c r="B9" s="251"/>
      <c r="C9" s="251"/>
      <c r="D9" s="251"/>
      <c r="E9" s="252"/>
      <c r="F9" s="253"/>
      <c r="G9" s="254"/>
      <c r="H9" s="271"/>
      <c r="I9" s="258"/>
      <c r="J9" s="258"/>
      <c r="K9" s="258"/>
      <c r="L9" s="330"/>
      <c r="M9" s="333"/>
      <c r="N9" s="255"/>
      <c r="O9" s="255"/>
      <c r="P9" s="255"/>
      <c r="Q9" s="255"/>
      <c r="R9" s="57">
        <f>R7+R8</f>
        <v>490928</v>
      </c>
      <c r="S9" s="263"/>
      <c r="T9" s="263"/>
      <c r="U9" s="263"/>
      <c r="V9" s="263"/>
      <c r="W9" s="261"/>
      <c r="X9" s="11"/>
      <c r="Y9" s="223"/>
    </row>
    <row r="10" spans="1:38" ht="12.75" outlineLevel="2" x14ac:dyDescent="0.2">
      <c r="A10" s="251" t="s">
        <v>386</v>
      </c>
      <c r="B10" s="251" t="s">
        <v>387</v>
      </c>
      <c r="C10" s="251"/>
      <c r="D10" s="251" t="s">
        <v>461</v>
      </c>
      <c r="E10" s="252" t="s">
        <v>465</v>
      </c>
      <c r="F10" s="257" t="s">
        <v>464</v>
      </c>
      <c r="G10" s="254" t="s">
        <v>468</v>
      </c>
      <c r="H10" s="271">
        <v>1</v>
      </c>
      <c r="I10" s="258"/>
      <c r="J10" s="258">
        <v>3</v>
      </c>
      <c r="K10" s="258"/>
      <c r="L10" s="330">
        <v>2</v>
      </c>
      <c r="M10" s="333">
        <f t="shared" si="0"/>
        <v>5</v>
      </c>
      <c r="N10" s="255">
        <v>2840</v>
      </c>
      <c r="O10" s="255">
        <v>2840</v>
      </c>
      <c r="P10" s="255">
        <v>2874</v>
      </c>
      <c r="Q10" s="255">
        <v>2874</v>
      </c>
      <c r="R10" s="262">
        <f t="shared" si="1"/>
        <v>14268</v>
      </c>
      <c r="S10" s="263">
        <f>IF(N10&gt;PrisgrenseTM,I10*PrisgrenseTM,I10*N10)</f>
        <v>0</v>
      </c>
      <c r="T10" s="263">
        <f>IF(O10&gt;PrisgrenseTM,J10*PrisgrenseTM,J10*O10)</f>
        <v>7824</v>
      </c>
      <c r="U10" s="263">
        <f>IF(P10&gt;PrisgrenseTM,K10*PrisgrenseTM,K10*P10)</f>
        <v>0</v>
      </c>
      <c r="V10" s="263">
        <f>IF(Q10&gt;PrisgrenseTM,L10*PrisgrenseTM,L10*Q10)</f>
        <v>5216</v>
      </c>
      <c r="W10" s="261">
        <f t="shared" si="3"/>
        <v>13040</v>
      </c>
      <c r="X10" s="11"/>
      <c r="Y10" s="223"/>
      <c r="Z10" s="19">
        <v>199</v>
      </c>
    </row>
    <row r="11" spans="1:38" s="19" customFormat="1" ht="12.75" outlineLevel="2" x14ac:dyDescent="0.2">
      <c r="A11" s="251"/>
      <c r="B11" s="251"/>
      <c r="C11" s="251"/>
      <c r="D11" s="251"/>
      <c r="E11" s="252"/>
      <c r="F11" s="253"/>
      <c r="G11" s="254"/>
      <c r="H11" s="271"/>
      <c r="I11" s="258"/>
      <c r="J11" s="258"/>
      <c r="K11" s="258"/>
      <c r="L11" s="330"/>
      <c r="M11" s="333"/>
      <c r="N11" s="255"/>
      <c r="O11" s="255"/>
      <c r="P11" s="255"/>
      <c r="Q11" s="255"/>
      <c r="R11" s="262"/>
      <c r="S11" s="263"/>
      <c r="T11" s="263"/>
      <c r="U11" s="263"/>
      <c r="V11" s="263"/>
      <c r="W11" s="261"/>
      <c r="X11" s="11"/>
      <c r="Y11" s="223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19" customFormat="1" ht="12.75" outlineLevel="2" x14ac:dyDescent="0.2">
      <c r="A12" s="251" t="s">
        <v>386</v>
      </c>
      <c r="B12" s="251" t="s">
        <v>462</v>
      </c>
      <c r="C12" s="251"/>
      <c r="D12" s="251" t="s">
        <v>148</v>
      </c>
      <c r="E12" s="252" t="s">
        <v>466</v>
      </c>
      <c r="F12" s="257" t="s">
        <v>464</v>
      </c>
      <c r="G12" s="254" t="s">
        <v>469</v>
      </c>
      <c r="H12" s="277">
        <v>1</v>
      </c>
      <c r="I12" s="258">
        <v>121</v>
      </c>
      <c r="J12" s="258">
        <v>113</v>
      </c>
      <c r="K12" s="258">
        <v>96</v>
      </c>
      <c r="L12" s="330">
        <v>118</v>
      </c>
      <c r="M12" s="333">
        <f t="shared" si="0"/>
        <v>448</v>
      </c>
      <c r="N12" s="255">
        <v>1790</v>
      </c>
      <c r="O12" s="255">
        <v>1790</v>
      </c>
      <c r="P12" s="255">
        <v>2226</v>
      </c>
      <c r="Q12" s="255">
        <v>2226</v>
      </c>
      <c r="R12" s="262">
        <f t="shared" si="1"/>
        <v>895224</v>
      </c>
      <c r="S12" s="263">
        <f t="shared" ref="S12:V13" si="5">IF(N12&gt;PrisgrenseTM,I12*PrisgrenseTM,I12*N12)</f>
        <v>216590</v>
      </c>
      <c r="T12" s="263">
        <f t="shared" si="5"/>
        <v>202270</v>
      </c>
      <c r="U12" s="263">
        <f t="shared" si="5"/>
        <v>213696</v>
      </c>
      <c r="V12" s="263">
        <f t="shared" si="5"/>
        <v>262668</v>
      </c>
      <c r="W12" s="261">
        <f t="shared" si="3"/>
        <v>895224</v>
      </c>
      <c r="X12" s="11"/>
      <c r="Y12" s="223"/>
      <c r="Z12" s="19">
        <v>201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1:38" s="19" customFormat="1" ht="12.75" outlineLevel="2" x14ac:dyDescent="0.2">
      <c r="A13" s="251" t="s">
        <v>386</v>
      </c>
      <c r="B13" s="251" t="s">
        <v>462</v>
      </c>
      <c r="C13" s="251"/>
      <c r="D13" s="251" t="s">
        <v>206</v>
      </c>
      <c r="E13" s="252" t="s">
        <v>466</v>
      </c>
      <c r="F13" s="257" t="s">
        <v>464</v>
      </c>
      <c r="G13" s="254" t="s">
        <v>469</v>
      </c>
      <c r="H13" s="277">
        <v>2</v>
      </c>
      <c r="I13" s="258">
        <v>394</v>
      </c>
      <c r="J13" s="258">
        <v>473</v>
      </c>
      <c r="K13" s="258">
        <v>330</v>
      </c>
      <c r="L13" s="330">
        <v>485</v>
      </c>
      <c r="M13" s="333">
        <f t="shared" si="0"/>
        <v>1682</v>
      </c>
      <c r="N13" s="255">
        <v>2200</v>
      </c>
      <c r="O13" s="255">
        <v>2200</v>
      </c>
      <c r="P13" s="255">
        <v>1811</v>
      </c>
      <c r="Q13" s="255">
        <v>1811</v>
      </c>
      <c r="R13" s="262">
        <f t="shared" si="1"/>
        <v>3383365</v>
      </c>
      <c r="S13" s="263">
        <f t="shared" si="5"/>
        <v>866800</v>
      </c>
      <c r="T13" s="263">
        <f t="shared" si="5"/>
        <v>1040600</v>
      </c>
      <c r="U13" s="263">
        <f t="shared" si="5"/>
        <v>597630</v>
      </c>
      <c r="V13" s="263">
        <f t="shared" si="5"/>
        <v>878335</v>
      </c>
      <c r="W13" s="261">
        <f t="shared" si="3"/>
        <v>3383365</v>
      </c>
      <c r="X13" s="11"/>
      <c r="Y13" s="223"/>
      <c r="Z13" s="19">
        <v>202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</row>
    <row r="14" spans="1:38" s="19" customFormat="1" ht="15.75" outlineLevel="1" x14ac:dyDescent="0.25">
      <c r="A14" s="3"/>
      <c r="B14" s="4"/>
      <c r="C14" s="4"/>
      <c r="D14" s="249"/>
      <c r="E14" s="159"/>
      <c r="F14" s="5"/>
      <c r="G14" s="218" t="s">
        <v>470</v>
      </c>
      <c r="H14" s="5"/>
      <c r="I14" s="6">
        <f>SUBTOTAL(9,I4:I13)</f>
        <v>560</v>
      </c>
      <c r="J14" s="6">
        <f>SUBTOTAL(9,J4:J13)</f>
        <v>648</v>
      </c>
      <c r="K14" s="6">
        <f>SUBTOTAL(9,K4:K13)</f>
        <v>459</v>
      </c>
      <c r="L14" s="6">
        <f>SUBTOTAL(9,L4:L13)</f>
        <v>645</v>
      </c>
      <c r="M14" s="75">
        <f>SUBTOTAL(9,M4:M13)</f>
        <v>2312</v>
      </c>
      <c r="N14" s="7"/>
      <c r="O14" s="7"/>
      <c r="P14" s="7"/>
      <c r="Q14" s="7"/>
      <c r="R14" s="7">
        <f t="shared" ref="R14:W14" si="6">SUBTOTAL(9,R4:R13)</f>
        <v>5303101</v>
      </c>
      <c r="S14" s="54">
        <f t="shared" si="6"/>
        <v>1200750</v>
      </c>
      <c r="T14" s="54">
        <f t="shared" si="6"/>
        <v>1404566</v>
      </c>
      <c r="U14" s="54">
        <f t="shared" si="6"/>
        <v>897390</v>
      </c>
      <c r="V14" s="54">
        <f t="shared" si="6"/>
        <v>1250539</v>
      </c>
      <c r="W14" s="7">
        <f t="shared" si="6"/>
        <v>4753245</v>
      </c>
      <c r="X14" s="11"/>
      <c r="Y14" s="223"/>
      <c r="Z14" s="19">
        <v>205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</row>
    <row r="15" spans="1:38" s="19" customFormat="1" ht="15.75" outlineLevel="2" x14ac:dyDescent="0.25">
      <c r="A15" s="3"/>
      <c r="B15" s="4"/>
      <c r="C15" s="4"/>
      <c r="D15" s="249" t="s">
        <v>184</v>
      </c>
      <c r="E15" s="159"/>
      <c r="F15" s="4"/>
      <c r="G15" s="5"/>
      <c r="H15" s="5"/>
      <c r="I15" s="6"/>
      <c r="J15" s="6"/>
      <c r="K15" s="6"/>
      <c r="L15" s="6"/>
      <c r="M15" s="75"/>
      <c r="N15" s="7"/>
      <c r="O15" s="7"/>
      <c r="P15" s="7"/>
      <c r="Q15" s="7"/>
      <c r="R15" s="57"/>
      <c r="S15" s="54"/>
      <c r="T15" s="54"/>
      <c r="U15" s="54"/>
      <c r="V15" s="54"/>
      <c r="W15" s="7"/>
      <c r="X15" s="11"/>
      <c r="Y15" s="223"/>
      <c r="Z15" s="19">
        <v>206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</row>
    <row r="16" spans="1:38" s="31" customFormat="1" outlineLevel="2" x14ac:dyDescent="0.15">
      <c r="A16" s="326" t="s">
        <v>386</v>
      </c>
      <c r="B16" s="327" t="s">
        <v>462</v>
      </c>
      <c r="C16" s="327"/>
      <c r="D16" s="259" t="s">
        <v>559</v>
      </c>
      <c r="E16" s="328" t="s">
        <v>466</v>
      </c>
      <c r="F16" s="267"/>
      <c r="G16" s="265" t="s">
        <v>171</v>
      </c>
      <c r="H16" s="267"/>
      <c r="I16" s="329">
        <v>2</v>
      </c>
      <c r="J16" s="258"/>
      <c r="K16" s="264"/>
      <c r="L16" s="332"/>
      <c r="M16" s="333">
        <f t="shared" ref="M16:M18" si="7">SUM(I16:L16)</f>
        <v>2</v>
      </c>
      <c r="N16" s="262">
        <v>1900</v>
      </c>
      <c r="O16" s="262">
        <v>1900</v>
      </c>
      <c r="P16" s="262">
        <v>1900</v>
      </c>
      <c r="Q16" s="262">
        <v>1900</v>
      </c>
      <c r="R16" s="262">
        <f t="shared" ref="R16:R18" si="8">SUMPRODUCT(I16:L16,N16:Q16)</f>
        <v>3800</v>
      </c>
      <c r="S16" s="263">
        <f t="shared" ref="S16:V18" si="9">IF(N16&gt;PrisgrenseTM,I16*PrisgrenseTM,I16*N16)</f>
        <v>3800</v>
      </c>
      <c r="T16" s="263">
        <f t="shared" si="9"/>
        <v>0</v>
      </c>
      <c r="U16" s="263">
        <f t="shared" si="9"/>
        <v>0</v>
      </c>
      <c r="V16" s="263">
        <f t="shared" si="9"/>
        <v>0</v>
      </c>
      <c r="W16" s="261">
        <f t="shared" ref="W16:W18" si="10">SUM(S16:V16)</f>
        <v>3800</v>
      </c>
      <c r="X16" s="55"/>
      <c r="Y16" s="224"/>
      <c r="Z16" s="19"/>
      <c r="AA16" s="19"/>
      <c r="AB16" s="19"/>
    </row>
    <row r="17" spans="1:38" s="31" customFormat="1" outlineLevel="2" x14ac:dyDescent="0.15">
      <c r="A17" s="326" t="s">
        <v>386</v>
      </c>
      <c r="B17" s="327"/>
      <c r="C17" s="327"/>
      <c r="D17" s="259" t="s">
        <v>560</v>
      </c>
      <c r="E17" s="328" t="s">
        <v>16</v>
      </c>
      <c r="F17" s="267"/>
      <c r="G17" s="265" t="s">
        <v>171</v>
      </c>
      <c r="H17" s="267"/>
      <c r="I17" s="329">
        <v>2</v>
      </c>
      <c r="J17" s="258"/>
      <c r="K17" s="264"/>
      <c r="L17" s="332"/>
      <c r="M17" s="333">
        <f t="shared" si="7"/>
        <v>2</v>
      </c>
      <c r="N17" s="262">
        <v>2608</v>
      </c>
      <c r="O17" s="262">
        <v>2608</v>
      </c>
      <c r="P17" s="262">
        <v>2608</v>
      </c>
      <c r="Q17" s="262">
        <v>2608</v>
      </c>
      <c r="R17" s="262">
        <f t="shared" si="8"/>
        <v>5216</v>
      </c>
      <c r="S17" s="263">
        <f t="shared" si="9"/>
        <v>5216</v>
      </c>
      <c r="T17" s="263">
        <f t="shared" si="9"/>
        <v>0</v>
      </c>
      <c r="U17" s="263">
        <f t="shared" si="9"/>
        <v>0</v>
      </c>
      <c r="V17" s="263">
        <f t="shared" si="9"/>
        <v>0</v>
      </c>
      <c r="W17" s="261">
        <f t="shared" si="10"/>
        <v>5216</v>
      </c>
      <c r="X17" s="55"/>
      <c r="Y17" s="224"/>
      <c r="Z17" s="19"/>
      <c r="AA17" s="19"/>
      <c r="AB17" s="19"/>
    </row>
    <row r="18" spans="1:38" s="31" customFormat="1" outlineLevel="2" x14ac:dyDescent="0.15">
      <c r="A18" s="326" t="s">
        <v>567</v>
      </c>
      <c r="B18" s="327" t="s">
        <v>568</v>
      </c>
      <c r="C18" s="327"/>
      <c r="D18" s="259" t="s">
        <v>569</v>
      </c>
      <c r="E18" s="328" t="s">
        <v>16</v>
      </c>
      <c r="F18" s="267"/>
      <c r="G18" s="265" t="s">
        <v>171</v>
      </c>
      <c r="H18" s="267"/>
      <c r="I18" s="329">
        <v>27</v>
      </c>
      <c r="J18" s="258">
        <v>4</v>
      </c>
      <c r="K18" s="264">
        <v>19</v>
      </c>
      <c r="L18" s="332">
        <v>4</v>
      </c>
      <c r="M18" s="333">
        <f t="shared" si="7"/>
        <v>54</v>
      </c>
      <c r="N18" s="262">
        <v>2608</v>
      </c>
      <c r="O18" s="262">
        <v>2608</v>
      </c>
      <c r="P18" s="262">
        <v>2608</v>
      </c>
      <c r="Q18" s="262">
        <v>2608</v>
      </c>
      <c r="R18" s="262">
        <f t="shared" si="8"/>
        <v>140832</v>
      </c>
      <c r="S18" s="263">
        <f t="shared" si="9"/>
        <v>70416</v>
      </c>
      <c r="T18" s="263">
        <f t="shared" si="9"/>
        <v>10432</v>
      </c>
      <c r="U18" s="263">
        <f t="shared" si="9"/>
        <v>49552</v>
      </c>
      <c r="V18" s="263">
        <f t="shared" si="9"/>
        <v>10432</v>
      </c>
      <c r="W18" s="261">
        <f t="shared" si="10"/>
        <v>140832</v>
      </c>
      <c r="X18" s="55" t="s">
        <v>701</v>
      </c>
      <c r="Y18" s="224"/>
      <c r="Z18" s="19"/>
      <c r="AA18" s="19"/>
      <c r="AB18" s="19"/>
    </row>
    <row r="19" spans="1:38" s="19" customFormat="1" ht="11.25" outlineLevel="1" thickBot="1" x14ac:dyDescent="0.2">
      <c r="A19" s="4"/>
      <c r="B19" s="4"/>
      <c r="C19" s="4"/>
      <c r="D19" s="37" t="s">
        <v>566</v>
      </c>
      <c r="E19" s="159"/>
      <c r="F19" s="5"/>
      <c r="G19" s="218" t="s">
        <v>182</v>
      </c>
      <c r="H19" s="5"/>
      <c r="I19" s="12">
        <f>SUBTOTAL(9,I16:I18)</f>
        <v>31</v>
      </c>
      <c r="J19" s="12">
        <f>SUBTOTAL(9,J16:J18)</f>
        <v>4</v>
      </c>
      <c r="K19" s="12">
        <f>SUBTOTAL(9,K16:K18)</f>
        <v>19</v>
      </c>
      <c r="L19" s="12">
        <f>SUBTOTAL(9,L16:L18)</f>
        <v>4</v>
      </c>
      <c r="M19" s="214">
        <f>SUBTOTAL(9,M16:M18)</f>
        <v>58</v>
      </c>
      <c r="N19" s="7"/>
      <c r="O19" s="7"/>
      <c r="P19" s="7"/>
      <c r="Q19" s="7"/>
      <c r="R19" s="7">
        <f>SUBTOTAL(9,R16:R18)</f>
        <v>149848</v>
      </c>
      <c r="S19" s="54">
        <f>SUBTOTAL(9,S16:S17)</f>
        <v>9016</v>
      </c>
      <c r="T19" s="54">
        <f>SUBTOTAL(9,T16:T17)</f>
        <v>0</v>
      </c>
      <c r="U19" s="54">
        <f>SUBTOTAL(9,U16:U17)</f>
        <v>0</v>
      </c>
      <c r="V19" s="54">
        <f>SUBTOTAL(9,V16:V17)</f>
        <v>0</v>
      </c>
      <c r="W19" s="7">
        <f>SUBTOTAL(9,W16:W18)</f>
        <v>149848</v>
      </c>
      <c r="X19" s="4"/>
      <c r="Y19" s="222"/>
      <c r="Z19" s="19">
        <v>336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19" customFormat="1" ht="13.5" thickBot="1" x14ac:dyDescent="0.25">
      <c r="A20" s="4"/>
      <c r="B20" s="4"/>
      <c r="C20" s="4"/>
      <c r="D20" s="308" t="s">
        <v>562</v>
      </c>
      <c r="E20" s="162"/>
      <c r="F20" s="10"/>
      <c r="G20" s="239" t="s">
        <v>183</v>
      </c>
      <c r="H20" s="10"/>
      <c r="I20" s="77">
        <f>SUBTOTAL(9,I3:I18)</f>
        <v>591</v>
      </c>
      <c r="J20" s="77">
        <f>SUBTOTAL(9,J3:J18)</f>
        <v>652</v>
      </c>
      <c r="K20" s="240">
        <f>SUBTOTAL(9,K3:K18)</f>
        <v>478</v>
      </c>
      <c r="L20" s="240">
        <f>SUBTOTAL(9,L3:L18)</f>
        <v>649</v>
      </c>
      <c r="M20" s="241">
        <f>SUBTOTAL(9,M3:M18)</f>
        <v>2370</v>
      </c>
      <c r="N20" s="242"/>
      <c r="O20" s="242"/>
      <c r="P20" s="242"/>
      <c r="Q20" s="242"/>
      <c r="R20" s="77">
        <f>SUBTOTAL(9,R3:R18)</f>
        <v>5452949</v>
      </c>
      <c r="S20" s="243">
        <f>SUBTOTAL(9,S3:S17)</f>
        <v>1209766</v>
      </c>
      <c r="T20" s="243">
        <f>SUBTOTAL(9,T3:T17)</f>
        <v>1404566</v>
      </c>
      <c r="U20" s="243">
        <f>SUBTOTAL(9,U3:U17)</f>
        <v>897390</v>
      </c>
      <c r="V20" s="243">
        <f>SUBTOTAL(9,V3:V17)</f>
        <v>1250539</v>
      </c>
      <c r="W20" s="335">
        <f>SUBTOTAL(9,W3:W18)</f>
        <v>4903093</v>
      </c>
      <c r="X20" s="4"/>
      <c r="Y20" s="222"/>
      <c r="Z20" s="19">
        <v>337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s="19" customFormat="1" x14ac:dyDescent="0.15">
      <c r="A21" s="4"/>
      <c r="B21" s="4"/>
      <c r="C21" s="4"/>
      <c r="D21" s="4" t="s">
        <v>50</v>
      </c>
      <c r="E21" s="159"/>
      <c r="F21" s="5"/>
      <c r="G21" s="218"/>
      <c r="H21" s="5"/>
      <c r="I21" s="12"/>
      <c r="J21" s="12"/>
      <c r="K21" s="12"/>
      <c r="L21" s="87">
        <f>I20+J20+K20+L20</f>
        <v>2370</v>
      </c>
      <c r="M21" s="170" t="s">
        <v>47</v>
      </c>
      <c r="N21" s="9"/>
      <c r="O21" s="9"/>
      <c r="P21" s="9"/>
      <c r="Q21" s="9"/>
      <c r="R21" s="57">
        <f>R20*1.25</f>
        <v>6816186.25</v>
      </c>
      <c r="S21" s="57"/>
      <c r="T21" s="57"/>
      <c r="U21" s="57"/>
      <c r="V21" s="57"/>
      <c r="W21" s="7">
        <f>W20*1.25</f>
        <v>6128866.25</v>
      </c>
      <c r="X21" s="4"/>
      <c r="Y21" s="222"/>
      <c r="Z21" s="19">
        <v>338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</row>
    <row r="22" spans="1:38" s="19" customFormat="1" x14ac:dyDescent="0.15">
      <c r="A22" s="3"/>
      <c r="B22" s="4"/>
      <c r="C22" s="4"/>
      <c r="D22" s="4"/>
      <c r="E22" s="159"/>
      <c r="F22" s="5"/>
      <c r="G22" s="5"/>
      <c r="H22" s="5"/>
      <c r="I22" s="6"/>
      <c r="J22" s="12"/>
      <c r="K22" s="12"/>
      <c r="L22" s="12"/>
      <c r="M22" s="17"/>
      <c r="N22" s="9"/>
      <c r="O22" s="9"/>
      <c r="P22" s="9"/>
      <c r="Q22" s="9"/>
      <c r="R22" s="57"/>
      <c r="S22" s="57"/>
      <c r="T22" s="57"/>
      <c r="U22" s="57"/>
      <c r="V22" s="57"/>
      <c r="W22" s="4"/>
      <c r="X22" s="8"/>
      <c r="Y22" s="227"/>
      <c r="Z22" s="19">
        <v>339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</row>
    <row r="23" spans="1:38" s="19" customFormat="1" x14ac:dyDescent="0.15">
      <c r="A23" s="3"/>
      <c r="B23" s="4"/>
      <c r="C23" s="4"/>
      <c r="D23" s="4" t="s">
        <v>570</v>
      </c>
      <c r="E23" s="336">
        <v>2608</v>
      </c>
      <c r="F23" s="5"/>
      <c r="G23" s="5"/>
      <c r="H23" s="5"/>
      <c r="I23" s="6"/>
      <c r="J23" s="12"/>
      <c r="K23" s="12"/>
      <c r="L23" s="12"/>
      <c r="M23" s="17"/>
      <c r="N23" s="9"/>
      <c r="O23" s="9"/>
      <c r="P23" s="9"/>
      <c r="Q23" s="9"/>
      <c r="R23" s="57"/>
      <c r="S23" s="57"/>
      <c r="T23" s="57"/>
      <c r="U23" s="57"/>
      <c r="V23" s="57"/>
      <c r="W23" s="4"/>
      <c r="X23" s="8"/>
      <c r="Y23" s="227"/>
      <c r="Z23" s="19">
        <v>340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</row>
    <row r="24" spans="1:38" s="19" customFormat="1" ht="11.25" thickBot="1" x14ac:dyDescent="0.2">
      <c r="A24" s="11"/>
      <c r="B24" s="11"/>
      <c r="C24" s="11"/>
      <c r="D24" s="6"/>
      <c r="E24" s="159"/>
      <c r="F24" s="5"/>
      <c r="G24" s="5"/>
      <c r="H24" s="5"/>
      <c r="I24" s="44"/>
      <c r="J24" s="12"/>
      <c r="K24" s="12"/>
      <c r="L24" s="16"/>
      <c r="M24" s="17"/>
      <c r="N24" s="32" t="s">
        <v>25</v>
      </c>
      <c r="O24" s="32" t="s">
        <v>25</v>
      </c>
      <c r="P24" s="32" t="s">
        <v>25</v>
      </c>
      <c r="Q24" s="32" t="s">
        <v>25</v>
      </c>
      <c r="R24" s="59" t="s">
        <v>34</v>
      </c>
      <c r="S24" s="57"/>
      <c r="T24" s="57"/>
      <c r="U24" s="57"/>
      <c r="V24" s="57"/>
      <c r="W24" s="69"/>
      <c r="X24" s="8"/>
      <c r="Y24" s="227"/>
      <c r="Z24" s="19">
        <v>341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</row>
    <row r="25" spans="1:38" s="19" customFormat="1" ht="11.25" thickTop="1" x14ac:dyDescent="0.15">
      <c r="A25" s="3"/>
      <c r="B25" s="4"/>
      <c r="C25" s="4"/>
      <c r="D25" s="13" t="s">
        <v>26</v>
      </c>
      <c r="E25" s="163"/>
      <c r="F25" s="14"/>
      <c r="G25" s="14"/>
      <c r="H25" s="14"/>
      <c r="I25" s="169">
        <f>SUMIF($E4:$E18,"=BTE",I4:I18)</f>
        <v>72</v>
      </c>
      <c r="J25" s="169">
        <f>SUMIF($E4:$E18,"=BTE",J4:J18)</f>
        <v>61</v>
      </c>
      <c r="K25" s="169">
        <f t="shared" ref="K25:M25" si="11">SUMIF($E4:$E18,"=BTE",K4:K18)</f>
        <v>52</v>
      </c>
      <c r="L25" s="169">
        <f t="shared" si="11"/>
        <v>43</v>
      </c>
      <c r="M25" s="337">
        <f t="shared" si="11"/>
        <v>228</v>
      </c>
      <c r="N25" s="18">
        <f t="shared" ref="N25:P29" si="12">I25/I$20</f>
        <v>0.12182741116751269</v>
      </c>
      <c r="O25" s="33">
        <f t="shared" si="12"/>
        <v>9.3558282208588958E-2</v>
      </c>
      <c r="P25" s="33">
        <f t="shared" si="12"/>
        <v>0.10878661087866109</v>
      </c>
      <c r="Q25" s="33">
        <f>L25/L20</f>
        <v>6.6255778120184905E-2</v>
      </c>
      <c r="R25" s="62">
        <f>M25/M$20</f>
        <v>9.6202531645569619E-2</v>
      </c>
      <c r="S25" s="57"/>
      <c r="T25" s="57"/>
      <c r="U25" s="57"/>
      <c r="V25" s="57"/>
      <c r="W25" s="69"/>
      <c r="X25" s="6"/>
      <c r="Y25" s="225"/>
      <c r="Z25" s="19">
        <v>342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</row>
    <row r="26" spans="1:38" s="19" customFormat="1" x14ac:dyDescent="0.15">
      <c r="A26" s="3"/>
      <c r="B26" s="4"/>
      <c r="C26" s="4"/>
      <c r="D26" s="15" t="s">
        <v>27</v>
      </c>
      <c r="E26" s="159"/>
      <c r="F26" s="5"/>
      <c r="G26" s="5"/>
      <c r="H26" s="5"/>
      <c r="I26" s="58">
        <f>SUMIF($E4:$E18,"=ITE",I4:I18)</f>
        <v>2</v>
      </c>
      <c r="J26" s="58">
        <f t="shared" ref="J26:M26" si="13">SUMIF($E4:$E18,"=ITE",J4:J18)</f>
        <v>1</v>
      </c>
      <c r="K26" s="58">
        <f t="shared" si="13"/>
        <v>0</v>
      </c>
      <c r="L26" s="58">
        <f t="shared" si="13"/>
        <v>1</v>
      </c>
      <c r="M26" s="338">
        <f t="shared" si="13"/>
        <v>4</v>
      </c>
      <c r="N26" s="18">
        <f t="shared" si="12"/>
        <v>3.3840947546531302E-3</v>
      </c>
      <c r="O26" s="33">
        <f t="shared" si="12"/>
        <v>1.5337423312883436E-3</v>
      </c>
      <c r="P26" s="33">
        <f t="shared" si="12"/>
        <v>0</v>
      </c>
      <c r="Q26" s="33">
        <f>L26/L20</f>
        <v>1.5408320493066256E-3</v>
      </c>
      <c r="R26" s="62">
        <f>M26/M$20</f>
        <v>1.6877637130801688E-3</v>
      </c>
      <c r="S26" s="57"/>
      <c r="T26" s="57"/>
      <c r="U26" s="57"/>
      <c r="V26" s="57"/>
      <c r="W26" s="69"/>
      <c r="X26" s="6"/>
      <c r="Y26" s="225"/>
      <c r="Z26" s="19">
        <v>343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19" customFormat="1" x14ac:dyDescent="0.15">
      <c r="A27" s="3"/>
      <c r="B27" s="4"/>
      <c r="C27" s="4"/>
      <c r="D27" s="15" t="s">
        <v>28</v>
      </c>
      <c r="E27" s="159"/>
      <c r="F27" s="5"/>
      <c r="G27" s="5"/>
      <c r="H27" s="5"/>
      <c r="I27" s="58">
        <f>SUMIF($E4:$E18,"=ITC",I4:I18)</f>
        <v>0</v>
      </c>
      <c r="J27" s="58">
        <f>SUMIF($E4:$E18,"=ITC",J4:J18)</f>
        <v>1</v>
      </c>
      <c r="K27" s="58">
        <f>SUMIF($E4:$E18,"=ITC",K4:K18)</f>
        <v>0</v>
      </c>
      <c r="L27" s="58">
        <f>SUMIF($E4:$E18,"=ITC",L4:L18)</f>
        <v>0</v>
      </c>
      <c r="M27" s="338">
        <f>SUMIF($E4:$E17,"=ITC",M4:M18)</f>
        <v>1</v>
      </c>
      <c r="N27" s="18">
        <f t="shared" si="12"/>
        <v>0</v>
      </c>
      <c r="O27" s="33">
        <f t="shared" si="12"/>
        <v>1.5337423312883436E-3</v>
      </c>
      <c r="P27" s="33">
        <f t="shared" si="12"/>
        <v>0</v>
      </c>
      <c r="Q27" s="33">
        <f>L27/L20</f>
        <v>0</v>
      </c>
      <c r="R27" s="62">
        <f>M27/M$20</f>
        <v>4.219409282700422E-4</v>
      </c>
      <c r="S27" s="57"/>
      <c r="T27" s="57"/>
      <c r="U27" s="57"/>
      <c r="V27" s="57"/>
      <c r="W27" s="69"/>
      <c r="X27" s="6"/>
      <c r="Y27" s="225"/>
      <c r="Z27" s="19">
        <v>344</v>
      </c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8" s="19" customFormat="1" x14ac:dyDescent="0.15">
      <c r="A28" s="3"/>
      <c r="B28" s="4"/>
      <c r="C28" s="4"/>
      <c r="D28" s="15" t="s">
        <v>465</v>
      </c>
      <c r="E28" s="159"/>
      <c r="F28" s="5"/>
      <c r="G28" s="5"/>
      <c r="H28" s="5"/>
      <c r="I28" s="58">
        <f>SUMIF($E4:$E18,"=Helix",I4:I18)</f>
        <v>0</v>
      </c>
      <c r="J28" s="58">
        <f>SUMIF($E4:$E18,"=Helix",J4:J18)</f>
        <v>3</v>
      </c>
      <c r="K28" s="58">
        <f>SUMIF($E4:$E18,"=Helix",K4:K18)</f>
        <v>0</v>
      </c>
      <c r="L28" s="58">
        <f>SUMIF($E4:$E18,"=Helix",L4:L18)</f>
        <v>2</v>
      </c>
      <c r="M28" s="338">
        <f>SUMIF($E4:$E18,"=Helix",M4:M18)</f>
        <v>5</v>
      </c>
      <c r="N28" s="18">
        <f t="shared" si="12"/>
        <v>0</v>
      </c>
      <c r="O28" s="33">
        <f t="shared" si="12"/>
        <v>4.601226993865031E-3</v>
      </c>
      <c r="P28" s="33">
        <f t="shared" si="12"/>
        <v>0</v>
      </c>
      <c r="Q28" s="33">
        <f>L28/L20</f>
        <v>3.0816640986132513E-3</v>
      </c>
      <c r="R28" s="62">
        <f>M28/M$20</f>
        <v>2.1097046413502108E-3</v>
      </c>
      <c r="S28" s="57"/>
      <c r="T28" s="57"/>
      <c r="U28" s="57"/>
      <c r="V28" s="57"/>
      <c r="W28" s="69"/>
      <c r="X28" s="6"/>
      <c r="Y28" s="225"/>
      <c r="Z28" s="19">
        <v>345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29" spans="1:38" s="19" customFormat="1" x14ac:dyDescent="0.15">
      <c r="A29" s="3"/>
      <c r="B29" s="4"/>
      <c r="C29" s="4"/>
      <c r="D29" s="15" t="s">
        <v>466</v>
      </c>
      <c r="E29" s="159"/>
      <c r="F29" s="5"/>
      <c r="G29" s="5"/>
      <c r="H29" s="5"/>
      <c r="I29" s="58">
        <f>SUMIF($E4:$E18,"=Bord",I4:I18)</f>
        <v>517</v>
      </c>
      <c r="J29" s="58">
        <f t="shared" ref="J29:M29" si="14">SUMIF($E4:$E18,"=Bord",J4:J18)</f>
        <v>586</v>
      </c>
      <c r="K29" s="58">
        <f t="shared" si="14"/>
        <v>426</v>
      </c>
      <c r="L29" s="58">
        <f t="shared" si="14"/>
        <v>603</v>
      </c>
      <c r="M29" s="338">
        <f t="shared" si="14"/>
        <v>2132</v>
      </c>
      <c r="N29" s="18">
        <f t="shared" si="12"/>
        <v>0.87478849407783421</v>
      </c>
      <c r="O29" s="33">
        <f t="shared" si="12"/>
        <v>0.89877300613496935</v>
      </c>
      <c r="P29" s="33">
        <f t="shared" si="12"/>
        <v>0.89121338912133896</v>
      </c>
      <c r="Q29" s="33">
        <f>L29/L20</f>
        <v>0.92912172573189522</v>
      </c>
      <c r="R29" s="62">
        <f>M29/M$20</f>
        <v>0.89957805907172994</v>
      </c>
      <c r="S29" s="57"/>
      <c r="T29" s="57"/>
      <c r="U29" s="57"/>
      <c r="V29" s="57"/>
      <c r="W29" s="4"/>
      <c r="X29" s="6"/>
      <c r="Y29" s="225"/>
      <c r="Z29" s="19">
        <v>346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</row>
    <row r="30" spans="1:38" s="19" customFormat="1" ht="11.25" thickBot="1" x14ac:dyDescent="0.2">
      <c r="A30" s="3"/>
      <c r="B30" s="4"/>
      <c r="C30" s="4"/>
      <c r="D30" s="20" t="s">
        <v>696</v>
      </c>
      <c r="E30" s="164"/>
      <c r="F30" s="21"/>
      <c r="G30" s="21"/>
      <c r="H30" s="21"/>
      <c r="I30" s="172">
        <f t="shared" ref="I30:N30" si="15">SUM(I25:I29)</f>
        <v>591</v>
      </c>
      <c r="J30" s="173">
        <f t="shared" si="15"/>
        <v>652</v>
      </c>
      <c r="K30" s="173">
        <f t="shared" si="15"/>
        <v>478</v>
      </c>
      <c r="L30" s="173">
        <f t="shared" si="15"/>
        <v>649</v>
      </c>
      <c r="M30" s="339">
        <f t="shared" si="15"/>
        <v>2370</v>
      </c>
      <c r="N30" s="34">
        <f t="shared" si="15"/>
        <v>1</v>
      </c>
      <c r="O30" s="34">
        <f>SUM(O25:O29)</f>
        <v>1</v>
      </c>
      <c r="P30" s="34">
        <f>SUM(P25:P29)</f>
        <v>1</v>
      </c>
      <c r="Q30" s="34">
        <f>SUM(Q25:Q29)</f>
        <v>1</v>
      </c>
      <c r="R30" s="76">
        <f>SUM(R25:R29)</f>
        <v>1</v>
      </c>
      <c r="S30" s="57"/>
      <c r="T30" s="57"/>
      <c r="U30" s="57"/>
      <c r="V30" s="57"/>
      <c r="W30" s="4"/>
      <c r="X30" s="6"/>
      <c r="Y30" s="225"/>
      <c r="Z30" s="19">
        <v>347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</row>
    <row r="31" spans="1:38" s="19" customFormat="1" ht="11.25" thickTop="1" x14ac:dyDescent="0.15">
      <c r="A31" s="3"/>
      <c r="B31" s="4"/>
      <c r="C31" s="4"/>
      <c r="D31" s="4"/>
      <c r="E31" s="159"/>
      <c r="F31" s="5"/>
      <c r="G31" s="5"/>
      <c r="H31" s="5"/>
      <c r="I31" s="6"/>
      <c r="J31" s="12"/>
      <c r="K31" s="12"/>
      <c r="L31" s="87">
        <f>I30+J30+K30+L30</f>
        <v>2370</v>
      </c>
      <c r="M31" s="17"/>
      <c r="N31" s="7"/>
      <c r="O31" s="7"/>
      <c r="P31" s="7"/>
      <c r="Q31" s="7"/>
      <c r="R31" s="57"/>
      <c r="S31" s="57"/>
      <c r="T31" s="57"/>
      <c r="U31" s="57"/>
      <c r="V31" s="57"/>
      <c r="W31" s="4"/>
      <c r="X31" s="6"/>
      <c r="Y31" s="225"/>
      <c r="Z31" s="19">
        <v>348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</row>
    <row r="32" spans="1:38" s="19" customFormat="1" x14ac:dyDescent="0.15">
      <c r="A32" s="3"/>
      <c r="B32" s="4"/>
      <c r="C32" s="4"/>
      <c r="D32" s="4"/>
      <c r="E32" s="159"/>
      <c r="F32" s="5"/>
      <c r="G32" s="5"/>
      <c r="H32" s="5"/>
      <c r="I32" s="6"/>
      <c r="J32" s="12"/>
      <c r="K32" s="12"/>
      <c r="L32" s="12"/>
      <c r="M32" s="17"/>
      <c r="N32" s="7"/>
      <c r="O32" s="7"/>
      <c r="P32" s="7"/>
      <c r="Q32" s="7"/>
      <c r="R32" s="57"/>
      <c r="S32" s="57"/>
      <c r="T32" s="57"/>
      <c r="U32" s="57"/>
      <c r="V32" s="57"/>
      <c r="W32" s="4"/>
      <c r="X32" s="6"/>
      <c r="Y32" s="225"/>
      <c r="Z32" s="19">
        <v>349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s="19" customFormat="1" x14ac:dyDescent="0.15">
      <c r="A33" s="3"/>
      <c r="B33" s="4"/>
      <c r="C33" s="4"/>
      <c r="D33" s="4"/>
      <c r="E33" s="159"/>
      <c r="F33" s="5"/>
      <c r="G33" s="5"/>
      <c r="H33" s="5"/>
      <c r="I33" s="6"/>
      <c r="J33" s="12"/>
      <c r="K33" s="12"/>
      <c r="L33" s="12"/>
      <c r="M33" s="17"/>
      <c r="N33" s="7"/>
      <c r="O33" s="7"/>
      <c r="P33" s="7"/>
      <c r="Q33" s="7"/>
      <c r="R33" s="57"/>
      <c r="S33" s="57"/>
      <c r="T33" s="57"/>
      <c r="U33" s="57"/>
      <c r="V33" s="57"/>
      <c r="W33" s="4"/>
      <c r="X33" s="6"/>
      <c r="Y33" s="225"/>
      <c r="Z33" s="19">
        <v>350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</row>
    <row r="34" spans="1:38" s="19" customFormat="1" x14ac:dyDescent="0.15">
      <c r="A34" s="3"/>
      <c r="B34" s="4"/>
      <c r="C34" s="4"/>
      <c r="D34" s="4"/>
      <c r="E34" s="159"/>
      <c r="F34" s="5"/>
      <c r="G34" s="5"/>
      <c r="H34" s="5"/>
      <c r="I34" s="6"/>
      <c r="J34" s="12"/>
      <c r="K34" s="12"/>
      <c r="L34" s="12"/>
      <c r="M34" s="17"/>
      <c r="N34" s="7"/>
      <c r="O34" s="7"/>
      <c r="P34" s="7"/>
      <c r="Q34" s="7"/>
      <c r="R34" s="57"/>
      <c r="S34" s="57"/>
      <c r="T34" s="57"/>
      <c r="U34" s="57"/>
      <c r="V34" s="57"/>
      <c r="W34" s="4"/>
      <c r="X34" s="6"/>
      <c r="Y34" s="225"/>
      <c r="Z34" s="19">
        <v>351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</row>
    <row r="35" spans="1:38" s="19" customFormat="1" x14ac:dyDescent="0.15">
      <c r="A35" s="3"/>
      <c r="B35" s="4"/>
      <c r="C35" s="4"/>
      <c r="D35" s="4"/>
      <c r="E35" s="159"/>
      <c r="F35" s="5"/>
      <c r="G35" s="5"/>
      <c r="H35" s="5"/>
      <c r="I35" s="6"/>
      <c r="J35" s="12"/>
      <c r="K35" s="12"/>
      <c r="L35" s="12"/>
      <c r="M35" s="17"/>
      <c r="N35" s="7"/>
      <c r="O35" s="7"/>
      <c r="P35" s="7"/>
      <c r="Q35" s="7"/>
      <c r="R35" s="57"/>
      <c r="S35" s="57"/>
      <c r="T35" s="57"/>
      <c r="U35" s="57"/>
      <c r="V35" s="57"/>
      <c r="W35" s="4"/>
      <c r="X35" s="6"/>
      <c r="Y35" s="225"/>
      <c r="Z35" s="19">
        <v>352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</row>
    <row r="36" spans="1:38" s="19" customFormat="1" x14ac:dyDescent="0.15">
      <c r="A36" s="3"/>
      <c r="B36" s="4"/>
      <c r="C36" s="4"/>
      <c r="D36" s="4"/>
      <c r="E36" s="159"/>
      <c r="F36" s="5"/>
      <c r="G36" s="5"/>
      <c r="H36" s="5"/>
      <c r="I36" s="6"/>
      <c r="J36" s="12"/>
      <c r="K36" s="12"/>
      <c r="L36" s="12"/>
      <c r="M36" s="17"/>
      <c r="N36" s="7"/>
      <c r="O36" s="7"/>
      <c r="P36" s="7"/>
      <c r="Q36" s="7"/>
      <c r="R36" s="57"/>
      <c r="S36" s="57"/>
      <c r="T36" s="57"/>
      <c r="U36" s="57"/>
      <c r="V36" s="57"/>
      <c r="W36" s="4"/>
      <c r="X36" s="6"/>
      <c r="Y36" s="225"/>
      <c r="Z36" s="19">
        <v>353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</row>
    <row r="37" spans="1:38" s="19" customFormat="1" x14ac:dyDescent="0.15">
      <c r="A37" s="3"/>
      <c r="B37" s="4"/>
      <c r="C37" s="4"/>
      <c r="D37" s="4"/>
      <c r="E37" s="159"/>
      <c r="F37" s="5"/>
      <c r="G37" s="5"/>
      <c r="H37" s="5"/>
      <c r="I37" s="6"/>
      <c r="J37" s="12"/>
      <c r="K37" s="12"/>
      <c r="L37" s="12"/>
      <c r="M37" s="17"/>
      <c r="N37" s="7"/>
      <c r="O37" s="7"/>
      <c r="P37" s="7"/>
      <c r="Q37" s="7"/>
      <c r="R37" s="57"/>
      <c r="S37" s="57"/>
      <c r="T37" s="57"/>
      <c r="U37" s="57"/>
      <c r="V37" s="57"/>
      <c r="W37" s="4"/>
      <c r="X37" s="6"/>
      <c r="Y37" s="225"/>
      <c r="Z37" s="19">
        <v>354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</row>
    <row r="38" spans="1:38" s="19" customFormat="1" x14ac:dyDescent="0.15">
      <c r="A38" s="3"/>
      <c r="B38" s="4"/>
      <c r="C38" s="4"/>
      <c r="D38" s="4"/>
      <c r="E38" s="159"/>
      <c r="F38" s="5"/>
      <c r="G38" s="5"/>
      <c r="H38" s="5"/>
      <c r="I38" s="6"/>
      <c r="J38" s="12"/>
      <c r="K38" s="12"/>
      <c r="L38" s="12"/>
      <c r="M38" s="17"/>
      <c r="N38" s="7"/>
      <c r="O38" s="88"/>
      <c r="P38" s="7"/>
      <c r="Q38" s="7"/>
      <c r="R38" s="57"/>
      <c r="S38" s="57"/>
      <c r="T38" s="57"/>
      <c r="U38" s="57"/>
      <c r="V38" s="57"/>
      <c r="W38" s="4"/>
      <c r="X38" s="6"/>
      <c r="Y38" s="225"/>
      <c r="Z38" s="19">
        <v>355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</row>
    <row r="39" spans="1:38" s="19" customFormat="1" x14ac:dyDescent="0.15">
      <c r="A39" s="3"/>
      <c r="B39" s="4"/>
      <c r="C39" s="4"/>
      <c r="D39" s="4"/>
      <c r="E39" s="159"/>
      <c r="F39" s="5"/>
      <c r="G39" s="5"/>
      <c r="H39" s="5"/>
      <c r="I39" s="6"/>
      <c r="J39" s="12"/>
      <c r="K39" s="12"/>
      <c r="L39" s="12"/>
      <c r="M39" s="17"/>
      <c r="N39" s="7"/>
      <c r="O39" s="7"/>
      <c r="P39" s="7"/>
      <c r="Q39" s="7"/>
      <c r="R39" s="57"/>
      <c r="S39" s="57"/>
      <c r="T39" s="57"/>
      <c r="U39" s="57"/>
      <c r="V39" s="57"/>
      <c r="W39" s="4"/>
      <c r="X39" s="6"/>
      <c r="Y39" s="225"/>
      <c r="Z39" s="19">
        <v>356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</row>
    <row r="40" spans="1:38" s="19" customFormat="1" x14ac:dyDescent="0.15">
      <c r="A40" s="3"/>
      <c r="B40" s="4"/>
      <c r="C40" s="4"/>
      <c r="D40" s="4"/>
      <c r="E40" s="159"/>
      <c r="F40" s="5"/>
      <c r="G40" s="5"/>
      <c r="H40" s="5"/>
      <c r="I40" s="6"/>
      <c r="J40" s="12"/>
      <c r="K40" s="12"/>
      <c r="L40" s="12"/>
      <c r="M40" s="17"/>
      <c r="N40" s="7"/>
      <c r="O40" s="7"/>
      <c r="P40" s="7"/>
      <c r="Q40" s="7"/>
      <c r="R40" s="57"/>
      <c r="S40" s="57"/>
      <c r="T40" s="57"/>
      <c r="U40" s="57"/>
      <c r="V40" s="57"/>
      <c r="W40" s="4"/>
      <c r="X40" s="6"/>
      <c r="Y40" s="225"/>
      <c r="Z40" s="19">
        <v>357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</row>
    <row r="41" spans="1:38" s="19" customFormat="1" x14ac:dyDescent="0.15">
      <c r="A41" s="3"/>
      <c r="B41" s="4"/>
      <c r="C41" s="4"/>
      <c r="D41" s="4"/>
      <c r="E41" s="159"/>
      <c r="F41" s="5"/>
      <c r="G41" s="5"/>
      <c r="H41" s="5"/>
      <c r="I41" s="6"/>
      <c r="J41" s="12"/>
      <c r="K41" s="12"/>
      <c r="L41" s="12"/>
      <c r="M41" s="17"/>
      <c r="N41" s="7"/>
      <c r="O41" s="7"/>
      <c r="P41" s="7"/>
      <c r="Q41" s="7"/>
      <c r="R41" s="57"/>
      <c r="S41" s="57"/>
      <c r="T41" s="57"/>
      <c r="U41" s="57"/>
      <c r="V41" s="57"/>
      <c r="W41" s="4"/>
      <c r="X41" s="6"/>
      <c r="Y41" s="225"/>
      <c r="Z41" s="19">
        <v>358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</row>
    <row r="42" spans="1:38" s="19" customFormat="1" x14ac:dyDescent="0.15">
      <c r="A42" s="3"/>
      <c r="B42" s="4"/>
      <c r="C42" s="4"/>
      <c r="D42" s="4"/>
      <c r="E42" s="159"/>
      <c r="F42" s="5"/>
      <c r="G42" s="5"/>
      <c r="H42" s="5"/>
      <c r="I42" s="6"/>
      <c r="J42" s="12"/>
      <c r="K42" s="12"/>
      <c r="L42" s="12"/>
      <c r="M42" s="17"/>
      <c r="N42" s="7"/>
      <c r="O42" s="7"/>
      <c r="P42" s="7"/>
      <c r="Q42" s="7"/>
      <c r="R42" s="57"/>
      <c r="S42" s="57"/>
      <c r="T42" s="57"/>
      <c r="U42" s="57"/>
      <c r="V42" s="57"/>
      <c r="W42" s="4"/>
      <c r="X42" s="6"/>
      <c r="Y42" s="225"/>
      <c r="Z42" s="19">
        <v>359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</row>
    <row r="43" spans="1:38" s="19" customFormat="1" x14ac:dyDescent="0.15">
      <c r="A43" s="3"/>
      <c r="B43" s="4"/>
      <c r="C43" s="4"/>
      <c r="D43" s="4"/>
      <c r="E43" s="159"/>
      <c r="F43" s="5"/>
      <c r="G43" s="5"/>
      <c r="H43" s="5"/>
      <c r="I43" s="6"/>
      <c r="J43" s="12"/>
      <c r="K43" s="12"/>
      <c r="L43" s="12"/>
      <c r="M43" s="17"/>
      <c r="N43" s="7"/>
      <c r="O43" s="7"/>
      <c r="P43" s="7"/>
      <c r="Q43" s="7"/>
      <c r="R43" s="57"/>
      <c r="S43" s="57"/>
      <c r="T43" s="57"/>
      <c r="U43" s="57"/>
      <c r="V43" s="57"/>
      <c r="W43" s="4"/>
      <c r="X43" s="6"/>
      <c r="Y43" s="225"/>
      <c r="Z43" s="19">
        <v>360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</row>
    <row r="44" spans="1:38" s="19" customFormat="1" x14ac:dyDescent="0.15">
      <c r="A44" s="3"/>
      <c r="B44" s="4"/>
      <c r="C44" s="4"/>
      <c r="D44" s="4"/>
      <c r="E44" s="159"/>
      <c r="F44" s="5"/>
      <c r="G44" s="5"/>
      <c r="H44" s="5"/>
      <c r="I44" s="6"/>
      <c r="J44" s="12"/>
      <c r="K44" s="12"/>
      <c r="L44" s="12"/>
      <c r="M44" s="17"/>
      <c r="N44" s="7"/>
      <c r="O44" s="7"/>
      <c r="P44" s="7"/>
      <c r="Q44" s="7"/>
      <c r="R44" s="57"/>
      <c r="S44" s="57"/>
      <c r="T44" s="57"/>
      <c r="U44" s="57"/>
      <c r="V44" s="57"/>
      <c r="W44" s="4"/>
      <c r="X44" s="6"/>
      <c r="Y44" s="225"/>
      <c r="Z44" s="19">
        <v>361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</row>
    <row r="45" spans="1:38" s="19" customFormat="1" x14ac:dyDescent="0.15">
      <c r="A45" s="3"/>
      <c r="B45" s="4"/>
      <c r="C45" s="4"/>
      <c r="D45" s="4"/>
      <c r="E45" s="159"/>
      <c r="F45" s="5"/>
      <c r="G45" s="5"/>
      <c r="H45" s="5"/>
      <c r="I45" s="6"/>
      <c r="J45" s="12"/>
      <c r="K45" s="12"/>
      <c r="L45" s="12"/>
      <c r="M45" s="17"/>
      <c r="N45" s="7"/>
      <c r="O45" s="7"/>
      <c r="P45" s="7"/>
      <c r="Q45" s="7"/>
      <c r="R45" s="57"/>
      <c r="S45" s="57"/>
      <c r="T45" s="57"/>
      <c r="U45" s="57"/>
      <c r="V45" s="57"/>
      <c r="W45" s="4"/>
      <c r="X45" s="6"/>
      <c r="Y45" s="225"/>
      <c r="Z45" s="19">
        <v>362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</row>
    <row r="46" spans="1:38" s="19" customFormat="1" x14ac:dyDescent="0.15">
      <c r="A46" s="3"/>
      <c r="B46" s="4"/>
      <c r="C46" s="4"/>
      <c r="D46" s="4"/>
      <c r="E46" s="159"/>
      <c r="F46" s="5"/>
      <c r="G46" s="5"/>
      <c r="H46" s="5"/>
      <c r="I46" s="6"/>
      <c r="J46" s="12"/>
      <c r="K46" s="12"/>
      <c r="L46" s="12"/>
      <c r="M46" s="17"/>
      <c r="N46" s="7"/>
      <c r="O46" s="7"/>
      <c r="P46" s="7"/>
      <c r="Q46" s="7"/>
      <c r="R46" s="57"/>
      <c r="S46" s="57"/>
      <c r="T46" s="57"/>
      <c r="U46" s="57"/>
      <c r="V46" s="57"/>
      <c r="W46" s="4"/>
      <c r="X46" s="6"/>
      <c r="Y46" s="225"/>
      <c r="Z46" s="19">
        <v>363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</row>
    <row r="47" spans="1:38" s="19" customFormat="1" x14ac:dyDescent="0.15">
      <c r="A47" s="3"/>
      <c r="B47" s="4"/>
      <c r="C47" s="4"/>
      <c r="D47" s="4"/>
      <c r="E47" s="159"/>
      <c r="F47" s="5"/>
      <c r="G47" s="5"/>
      <c r="H47" s="5"/>
      <c r="I47" s="6"/>
      <c r="J47" s="12"/>
      <c r="K47" s="12"/>
      <c r="L47" s="12"/>
      <c r="M47" s="17"/>
      <c r="N47" s="7"/>
      <c r="O47" s="7"/>
      <c r="P47" s="7"/>
      <c r="Q47" s="7"/>
      <c r="R47" s="57"/>
      <c r="S47" s="57"/>
      <c r="T47" s="57"/>
      <c r="U47" s="57"/>
      <c r="V47" s="57"/>
      <c r="W47" s="4"/>
      <c r="X47" s="6"/>
      <c r="Y47" s="225"/>
      <c r="Z47" s="19">
        <v>364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1:38" s="19" customFormat="1" x14ac:dyDescent="0.15">
      <c r="A48" s="3"/>
      <c r="B48" s="4"/>
      <c r="C48" s="4"/>
      <c r="D48" s="4"/>
      <c r="E48" s="159"/>
      <c r="F48" s="5"/>
      <c r="G48" s="5"/>
      <c r="H48" s="5"/>
      <c r="I48" s="6"/>
      <c r="J48" s="12"/>
      <c r="K48" s="12"/>
      <c r="L48" s="12"/>
      <c r="M48" s="17"/>
      <c r="N48" s="7"/>
      <c r="O48" s="7"/>
      <c r="P48" s="7"/>
      <c r="Q48" s="7"/>
      <c r="R48" s="57"/>
      <c r="S48" s="57"/>
      <c r="T48" s="57"/>
      <c r="U48" s="57"/>
      <c r="V48" s="57"/>
      <c r="W48" s="4"/>
      <c r="X48" s="6"/>
      <c r="Y48" s="225"/>
      <c r="Z48" s="19">
        <v>365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28" x14ac:dyDescent="0.15">
      <c r="I49" s="58"/>
      <c r="J49" s="171"/>
      <c r="K49" s="171"/>
      <c r="L49" s="171"/>
      <c r="M49" s="174"/>
      <c r="W49" s="4"/>
      <c r="X49" s="6"/>
      <c r="Y49" s="225"/>
      <c r="Z49" s="19">
        <v>366</v>
      </c>
    </row>
    <row r="50" spans="1:28" hidden="1" x14ac:dyDescent="0.15">
      <c r="D50" s="1" t="s">
        <v>100</v>
      </c>
      <c r="E50" s="160" t="s">
        <v>45</v>
      </c>
      <c r="F50" s="2"/>
      <c r="G50" s="2"/>
      <c r="H50" s="2"/>
      <c r="I50" s="175">
        <f>SUMIF(N4:N17,"&gt;4544",I4:I17)</f>
        <v>0</v>
      </c>
      <c r="J50" s="175">
        <f>SUMIF(O4:O17,"&gt;4456",J4:J17)</f>
        <v>0</v>
      </c>
      <c r="K50" s="175">
        <f>SUMIF(P4:P17,"&gt;4456",K4:K17)</f>
        <v>0</v>
      </c>
      <c r="L50" s="175">
        <f>SUMIF(Q4:Q17,"&gt;4856",L4:L17)</f>
        <v>0</v>
      </c>
      <c r="M50" s="176">
        <f>SUM(I50:L50)</f>
        <v>0</v>
      </c>
      <c r="N50" s="18"/>
      <c r="O50" s="18"/>
      <c r="P50" s="18"/>
      <c r="Q50" s="18"/>
      <c r="R50" s="6"/>
      <c r="S50" s="6"/>
      <c r="T50" s="82"/>
      <c r="X50" s="82"/>
      <c r="Y50" s="228"/>
      <c r="Z50" s="19">
        <v>367</v>
      </c>
    </row>
    <row r="51" spans="1:28" hidden="1" x14ac:dyDescent="0.15">
      <c r="D51" s="108" t="s">
        <v>101</v>
      </c>
      <c r="E51" s="201">
        <v>4544</v>
      </c>
      <c r="F51" s="109"/>
      <c r="G51" s="109"/>
      <c r="H51" s="109"/>
      <c r="I51" s="110">
        <f>I50/I20</f>
        <v>0</v>
      </c>
      <c r="J51" s="110">
        <f>J50/J20</f>
        <v>0</v>
      </c>
      <c r="K51" s="110">
        <f>K50/K20</f>
        <v>0</v>
      </c>
      <c r="L51" s="110">
        <f>L50/L20</f>
        <v>0</v>
      </c>
      <c r="M51" s="250">
        <f>M50/M20</f>
        <v>0</v>
      </c>
      <c r="N51" s="18"/>
      <c r="O51" s="18"/>
      <c r="P51" s="18"/>
      <c r="Q51" s="18"/>
      <c r="W51" s="4"/>
      <c r="X51" s="6"/>
      <c r="Y51" s="225"/>
      <c r="Z51" s="19">
        <v>368</v>
      </c>
    </row>
    <row r="52" spans="1:28" hidden="1" x14ac:dyDescent="0.15">
      <c r="D52" s="4" t="s">
        <v>170</v>
      </c>
      <c r="F52" s="6"/>
      <c r="G52" s="6"/>
      <c r="H52" s="6"/>
      <c r="I52" s="6">
        <f>COUNT(N4:N17)</f>
        <v>9</v>
      </c>
      <c r="J52" s="6">
        <f>COUNT(O4:O17)</f>
        <v>9</v>
      </c>
      <c r="K52" s="6">
        <f>COUNT(P4:P17)</f>
        <v>9</v>
      </c>
      <c r="L52" s="6">
        <f>COUNT(Q4:Q17)</f>
        <v>9</v>
      </c>
      <c r="N52" s="6"/>
      <c r="W52" s="4"/>
      <c r="X52" s="6"/>
      <c r="Y52" s="225"/>
      <c r="Z52" s="19">
        <v>369</v>
      </c>
    </row>
    <row r="53" spans="1:28" hidden="1" x14ac:dyDescent="0.15">
      <c r="D53" s="4" t="s">
        <v>204</v>
      </c>
      <c r="F53" s="6"/>
      <c r="G53" s="6"/>
      <c r="H53" s="6"/>
      <c r="I53" s="6">
        <f>COUNT(N$4:N$13)</f>
        <v>7</v>
      </c>
      <c r="J53" s="6"/>
      <c r="K53" s="6"/>
      <c r="L53" s="6"/>
      <c r="N53" s="6"/>
      <c r="W53" s="4"/>
      <c r="X53" s="6"/>
      <c r="Y53" s="225"/>
    </row>
    <row r="54" spans="1:28" hidden="1" x14ac:dyDescent="0.15">
      <c r="D54" s="4" t="s">
        <v>102</v>
      </c>
      <c r="F54" s="6"/>
      <c r="G54" s="6"/>
      <c r="H54" s="6"/>
      <c r="I54" s="82">
        <f>SUMIF($F4:$F17,"=RITE",I4:I17)/I20</f>
        <v>1.015228426395939E-2</v>
      </c>
      <c r="J54" s="18">
        <f>SUMIF($F4:$F17,"=RITE",J4:J17)/J20</f>
        <v>1.9938650306748466E-2</v>
      </c>
      <c r="K54" s="18">
        <f>SUMIF($F4:$F17,"=RITE",K4:K17)/K20</f>
        <v>8.368200836820083E-3</v>
      </c>
      <c r="L54" s="18">
        <f>SUMIF($F4:$F17,"=RITE",L4:L17)/L20</f>
        <v>1.2326656394453005E-2</v>
      </c>
      <c r="M54" s="244">
        <f>SUMIF(F4:F17,"=RITE",M4:M17)/M20</f>
        <v>1.3080168776371307E-2</v>
      </c>
      <c r="N54" s="6"/>
      <c r="W54" s="4"/>
      <c r="X54" s="6"/>
      <c r="Y54" s="225"/>
      <c r="Z54" s="19">
        <v>370</v>
      </c>
    </row>
    <row r="55" spans="1:28" hidden="1" x14ac:dyDescent="0.15">
      <c r="D55" s="4" t="s">
        <v>103</v>
      </c>
      <c r="F55" s="6"/>
      <c r="G55" s="6"/>
      <c r="H55" s="6"/>
      <c r="I55" s="82">
        <f>SUMIF($F4:$F17,"=tynn",I4:I17)/I20</f>
        <v>0</v>
      </c>
      <c r="J55" s="18">
        <f>SUMIF($F4:$F17,"=tynn",J4:J17)/J20</f>
        <v>0</v>
      </c>
      <c r="K55" s="18">
        <f>SUMIF($F4:$F17,"=tynn",K4:K17)/K20</f>
        <v>0</v>
      </c>
      <c r="L55" s="18">
        <f>SUMIF($F4:$F17,"=tynn",L4:L17)/L20</f>
        <v>0</v>
      </c>
      <c r="M55" s="111">
        <f>SUMIF($F4:$F17,"=tynn",M4:M17)/M20</f>
        <v>0</v>
      </c>
      <c r="N55" s="6"/>
      <c r="W55" s="4"/>
      <c r="X55" s="6"/>
      <c r="Y55" s="225"/>
      <c r="Z55" s="19">
        <v>371</v>
      </c>
    </row>
    <row r="56" spans="1:28" hidden="1" x14ac:dyDescent="0.15">
      <c r="D56" s="4" t="s">
        <v>109</v>
      </c>
      <c r="F56" s="6" t="s">
        <v>143</v>
      </c>
      <c r="G56" s="6"/>
      <c r="H56" s="6"/>
      <c r="I56" s="82">
        <f>SUMIF($F4:$F17,"=tynn mulig",I4:I17)/I20</f>
        <v>6.2605752961082908E-2</v>
      </c>
      <c r="J56" s="18">
        <f>SUMIF($F4:$F17,"=tynn mulig",J4:J17)/J20</f>
        <v>6.7484662576687116E-2</v>
      </c>
      <c r="K56" s="18">
        <f>SUMIF($F4:$F17,"=tynn mulig",K4:K17)/K20</f>
        <v>6.0669456066945605E-2</v>
      </c>
      <c r="L56" s="18">
        <f>SUMIF($F4:$F17,"=tynn mulig",L4:L17)/L20</f>
        <v>4.7765793528505393E-2</v>
      </c>
      <c r="M56" s="111">
        <f>SUMIF(F4:F17,"=tynn mulig",M4:M17)/M20</f>
        <v>5.9493670886075947E-2</v>
      </c>
      <c r="N56" s="6"/>
      <c r="W56" s="4"/>
      <c r="X56" s="6"/>
      <c r="Y56" s="225"/>
      <c r="Z56" s="19">
        <v>372</v>
      </c>
    </row>
    <row r="57" spans="1:28" hidden="1" x14ac:dyDescent="0.15">
      <c r="F57" s="6"/>
      <c r="G57" s="6"/>
      <c r="H57" s="6"/>
      <c r="I57" s="18"/>
      <c r="J57" s="18"/>
      <c r="K57" s="18"/>
      <c r="L57" s="18"/>
      <c r="M57" s="111"/>
      <c r="N57" s="6"/>
      <c r="W57" s="4"/>
      <c r="X57" s="6"/>
      <c r="Y57" s="225"/>
      <c r="Z57" s="19">
        <v>373</v>
      </c>
    </row>
    <row r="58" spans="1:28" customFormat="1" ht="12.75" hidden="1" x14ac:dyDescent="0.2">
      <c r="A58" s="3"/>
      <c r="B58" s="4"/>
      <c r="C58" s="4"/>
      <c r="D58" s="4"/>
      <c r="E58" s="159"/>
      <c r="F58" s="5"/>
      <c r="G58" s="5"/>
      <c r="H58" s="5"/>
      <c r="I58" s="6"/>
      <c r="J58" s="12"/>
      <c r="K58" s="12"/>
      <c r="L58" s="12"/>
      <c r="M58" s="17"/>
      <c r="N58" s="7"/>
      <c r="O58" s="7"/>
      <c r="P58" s="7"/>
      <c r="Q58" s="7"/>
      <c r="R58" s="57"/>
      <c r="S58" s="57"/>
      <c r="T58" s="57"/>
      <c r="U58" s="57"/>
      <c r="V58" s="57"/>
      <c r="W58" s="4"/>
      <c r="Y58" s="229"/>
      <c r="Z58" s="19">
        <v>374</v>
      </c>
      <c r="AA58" s="19"/>
      <c r="AB58" s="19"/>
    </row>
    <row r="59" spans="1:28" customFormat="1" ht="12.75" hidden="1" x14ac:dyDescent="0.2">
      <c r="A59" s="3"/>
      <c r="B59" s="4"/>
      <c r="C59" s="4"/>
      <c r="D59" s="4"/>
      <c r="E59" s="159"/>
      <c r="F59" s="5"/>
      <c r="G59" s="5"/>
      <c r="H59" s="5"/>
      <c r="I59" s="6"/>
      <c r="J59" s="12"/>
      <c r="K59" s="12"/>
      <c r="L59" s="12"/>
      <c r="M59" s="17"/>
      <c r="N59" s="7"/>
      <c r="O59" s="7"/>
      <c r="P59" s="7"/>
      <c r="Q59" s="7"/>
      <c r="R59" s="57"/>
      <c r="S59" s="57"/>
      <c r="T59" s="57"/>
      <c r="U59" s="57"/>
      <c r="V59" s="57"/>
      <c r="W59" s="4"/>
      <c r="Y59" s="229"/>
      <c r="Z59" s="19">
        <v>375</v>
      </c>
      <c r="AA59" s="19"/>
      <c r="AB59" s="19"/>
    </row>
    <row r="60" spans="1:28" customFormat="1" ht="12.75" hidden="1" x14ac:dyDescent="0.2">
      <c r="A60" s="3"/>
      <c r="B60" s="4"/>
      <c r="C60" s="4"/>
      <c r="D60" s="4"/>
      <c r="E60" s="159"/>
      <c r="F60" s="5"/>
      <c r="G60" s="5"/>
      <c r="H60" s="5"/>
      <c r="I60" s="6"/>
      <c r="J60" s="12"/>
      <c r="K60" s="12"/>
      <c r="L60" s="12"/>
      <c r="M60" s="17"/>
      <c r="N60" s="7"/>
      <c r="O60" s="7"/>
      <c r="P60" s="7"/>
      <c r="Q60" s="7"/>
      <c r="R60" s="57"/>
      <c r="S60" s="57"/>
      <c r="T60" s="57"/>
      <c r="U60" s="57"/>
      <c r="V60" s="57"/>
      <c r="W60" s="4"/>
      <c r="Y60" s="229"/>
      <c r="Z60" s="19">
        <v>376</v>
      </c>
      <c r="AA60" s="19"/>
      <c r="AB60" s="19"/>
    </row>
    <row r="61" spans="1:28" customFormat="1" ht="12.75" hidden="1" x14ac:dyDescent="0.2">
      <c r="A61" s="3"/>
      <c r="B61" s="4"/>
      <c r="C61" s="4"/>
      <c r="D61" s="4"/>
      <c r="E61" s="159"/>
      <c r="F61" s="5"/>
      <c r="G61" s="5"/>
      <c r="H61" s="5"/>
      <c r="I61" s="6"/>
      <c r="J61" s="12"/>
      <c r="K61" s="12"/>
      <c r="L61" s="12"/>
      <c r="M61" s="17"/>
      <c r="N61" s="7"/>
      <c r="O61" s="7"/>
      <c r="P61" s="7"/>
      <c r="Q61" s="7"/>
      <c r="R61" s="57"/>
      <c r="S61" s="57"/>
      <c r="T61" s="57"/>
      <c r="U61" s="57"/>
      <c r="V61" s="57"/>
      <c r="W61" s="4"/>
      <c r="Y61" s="229"/>
      <c r="Z61" s="19">
        <v>377</v>
      </c>
      <c r="AA61" s="19"/>
      <c r="AB61" s="19"/>
    </row>
    <row r="62" spans="1:28" customFormat="1" ht="12.75" hidden="1" x14ac:dyDescent="0.2">
      <c r="A62" s="3"/>
      <c r="B62" s="4"/>
      <c r="C62" s="4"/>
      <c r="D62" s="4"/>
      <c r="E62" s="159"/>
      <c r="F62" s="5"/>
      <c r="G62" s="5"/>
      <c r="H62" s="5"/>
      <c r="I62" s="6"/>
      <c r="J62" s="12"/>
      <c r="K62" s="12"/>
      <c r="L62" s="12"/>
      <c r="M62" s="17"/>
      <c r="N62" s="7"/>
      <c r="O62" s="7"/>
      <c r="P62" s="7"/>
      <c r="Q62" s="7"/>
      <c r="R62" s="57"/>
      <c r="S62" s="57"/>
      <c r="T62" s="57"/>
      <c r="U62" s="57"/>
      <c r="V62" s="57"/>
      <c r="W62" s="68"/>
      <c r="Y62" s="229"/>
      <c r="Z62" s="19">
        <v>378</v>
      </c>
      <c r="AA62" s="19"/>
      <c r="AB62" s="19"/>
    </row>
    <row r="63" spans="1:28" customFormat="1" ht="12.75" hidden="1" x14ac:dyDescent="0.2">
      <c r="A63" s="3"/>
      <c r="D63" s="23"/>
      <c r="E63" s="220"/>
      <c r="F63" s="53"/>
      <c r="G63" s="53"/>
      <c r="H63" s="217"/>
      <c r="I63" s="11"/>
      <c r="J63" s="22"/>
      <c r="K63" s="22"/>
      <c r="L63" s="22"/>
      <c r="M63" s="24"/>
      <c r="N63" s="23"/>
      <c r="O63" s="23"/>
      <c r="P63" s="23"/>
      <c r="Q63" s="23"/>
      <c r="R63" s="83"/>
      <c r="S63" s="83"/>
      <c r="T63" s="83"/>
      <c r="U63" s="83"/>
      <c r="V63" s="83"/>
      <c r="W63" s="68"/>
      <c r="Y63" s="229"/>
      <c r="Z63" s="19">
        <v>379</v>
      </c>
      <c r="AA63" s="19"/>
      <c r="AB63" s="19"/>
    </row>
    <row r="64" spans="1:28" customFormat="1" ht="12.75" hidden="1" x14ac:dyDescent="0.2">
      <c r="D64" s="23"/>
      <c r="E64" s="220"/>
      <c r="F64" s="53"/>
      <c r="G64" s="53"/>
      <c r="H64" s="217"/>
      <c r="I64" s="11"/>
      <c r="J64" s="22"/>
      <c r="K64" s="22"/>
      <c r="L64" s="22"/>
      <c r="M64" s="24"/>
      <c r="N64" s="23"/>
      <c r="O64" s="23"/>
      <c r="P64" s="23"/>
      <c r="Q64" s="23"/>
      <c r="R64" s="83"/>
      <c r="S64" s="83"/>
      <c r="T64" s="83"/>
      <c r="U64" s="83"/>
      <c r="V64" s="83"/>
      <c r="W64" s="68"/>
      <c r="Y64" s="229"/>
      <c r="Z64" s="19">
        <v>380</v>
      </c>
      <c r="AA64" s="19"/>
      <c r="AB64" s="19"/>
    </row>
    <row r="65" spans="1:28" customFormat="1" ht="12.75" hidden="1" x14ac:dyDescent="0.2">
      <c r="D65" s="23"/>
      <c r="E65" s="220"/>
      <c r="F65" s="53"/>
      <c r="G65" s="53"/>
      <c r="H65" s="217"/>
      <c r="I65" s="11"/>
      <c r="J65" s="22"/>
      <c r="K65" s="22"/>
      <c r="L65" s="22"/>
      <c r="M65" s="24"/>
      <c r="N65" s="23"/>
      <c r="O65" s="23"/>
      <c r="P65" s="23"/>
      <c r="Q65" s="23"/>
      <c r="R65" s="83"/>
      <c r="S65" s="83"/>
      <c r="T65" s="83"/>
      <c r="U65" s="83"/>
      <c r="V65" s="83"/>
      <c r="W65" s="68"/>
      <c r="Y65" s="229"/>
      <c r="Z65" s="19">
        <v>381</v>
      </c>
      <c r="AA65" s="19"/>
      <c r="AB65" s="19"/>
    </row>
    <row r="66" spans="1:28" customFormat="1" ht="12.75" hidden="1" x14ac:dyDescent="0.2">
      <c r="D66" s="23"/>
      <c r="E66" s="220"/>
      <c r="F66" s="53"/>
      <c r="G66" s="53"/>
      <c r="H66" s="217"/>
      <c r="I66" s="11"/>
      <c r="J66" s="22"/>
      <c r="K66" s="22"/>
      <c r="L66" s="22"/>
      <c r="M66" s="24"/>
      <c r="N66" s="23"/>
      <c r="O66" s="23"/>
      <c r="P66" s="23"/>
      <c r="Q66" s="23"/>
      <c r="R66" s="83"/>
      <c r="S66" s="83"/>
      <c r="T66" s="83"/>
      <c r="U66" s="83"/>
      <c r="V66" s="83"/>
      <c r="W66" s="68"/>
      <c r="Y66" s="229"/>
      <c r="Z66" s="19">
        <v>382</v>
      </c>
      <c r="AA66" s="19"/>
      <c r="AB66" s="19"/>
    </row>
    <row r="67" spans="1:28" customFormat="1" ht="12.75" hidden="1" x14ac:dyDescent="0.2">
      <c r="D67" s="23"/>
      <c r="E67" s="220"/>
      <c r="F67" s="53"/>
      <c r="G67" s="53"/>
      <c r="H67" s="217"/>
      <c r="I67" s="11"/>
      <c r="J67" s="22"/>
      <c r="K67" s="22"/>
      <c r="L67" s="22"/>
      <c r="M67" s="24"/>
      <c r="N67" s="23"/>
      <c r="O67" s="23"/>
      <c r="P67" s="23"/>
      <c r="Q67" s="23"/>
      <c r="R67" s="83"/>
      <c r="S67" s="83"/>
      <c r="T67" s="83"/>
      <c r="U67" s="83"/>
      <c r="V67" s="83"/>
      <c r="W67" s="68"/>
      <c r="Y67" s="229"/>
      <c r="Z67" s="19">
        <v>383</v>
      </c>
      <c r="AA67" s="19"/>
      <c r="AB67" s="19"/>
    </row>
    <row r="68" spans="1:28" customFormat="1" ht="12.75" hidden="1" x14ac:dyDescent="0.2">
      <c r="D68" s="23"/>
      <c r="E68" s="220"/>
      <c r="F68" s="53"/>
      <c r="G68" s="53"/>
      <c r="H68" s="217"/>
      <c r="I68" s="11"/>
      <c r="J68" s="22"/>
      <c r="K68" s="22"/>
      <c r="L68" s="22"/>
      <c r="M68" s="24"/>
      <c r="N68" s="23"/>
      <c r="O68" s="23"/>
      <c r="P68" s="23"/>
      <c r="Q68" s="23"/>
      <c r="R68" s="83"/>
      <c r="S68" s="83"/>
      <c r="T68" s="83"/>
      <c r="U68" s="83"/>
      <c r="V68" s="83"/>
      <c r="W68" s="68"/>
      <c r="Y68" s="229"/>
      <c r="Z68" s="19">
        <v>384</v>
      </c>
      <c r="AA68" s="19"/>
      <c r="AB68" s="19"/>
    </row>
    <row r="69" spans="1:28" customFormat="1" ht="12.75" hidden="1" x14ac:dyDescent="0.2">
      <c r="D69" s="23"/>
      <c r="E69" s="220"/>
      <c r="F69" s="53"/>
      <c r="G69" s="53"/>
      <c r="H69" s="217"/>
      <c r="I69" s="11"/>
      <c r="J69" s="22"/>
      <c r="K69" s="22"/>
      <c r="L69" s="22"/>
      <c r="M69" s="24"/>
      <c r="N69" s="23"/>
      <c r="O69" s="23"/>
      <c r="P69" s="23"/>
      <c r="Q69" s="23"/>
      <c r="R69" s="83"/>
      <c r="S69" s="83"/>
      <c r="T69" s="83"/>
      <c r="U69" s="83"/>
      <c r="V69" s="83"/>
      <c r="W69" s="68"/>
      <c r="Y69" s="229"/>
      <c r="Z69" s="19">
        <v>385</v>
      </c>
      <c r="AA69" s="19"/>
      <c r="AB69" s="19"/>
    </row>
    <row r="70" spans="1:28" ht="12.75" hidden="1" x14ac:dyDescent="0.2">
      <c r="A70"/>
      <c r="B70"/>
      <c r="C70"/>
      <c r="D70" s="23"/>
      <c r="E70" s="220"/>
      <c r="F70" s="53"/>
      <c r="G70" s="53"/>
      <c r="H70" s="217"/>
      <c r="I70" s="11"/>
      <c r="J70" s="22"/>
      <c r="K70" s="22"/>
      <c r="L70" s="22"/>
      <c r="M70" s="24"/>
      <c r="N70" s="23"/>
      <c r="O70" s="23"/>
      <c r="P70" s="23"/>
      <c r="Q70" s="23"/>
      <c r="R70" s="83"/>
      <c r="S70" s="83"/>
      <c r="T70" s="83"/>
      <c r="U70" s="83"/>
      <c r="V70" s="83"/>
      <c r="W70" s="68"/>
      <c r="X70"/>
      <c r="Y70" s="229"/>
      <c r="Z70" s="19">
        <v>386</v>
      </c>
    </row>
    <row r="71" spans="1:28" ht="12.75" hidden="1" x14ac:dyDescent="0.2">
      <c r="A71"/>
      <c r="B71"/>
      <c r="C71"/>
      <c r="D71" s="23"/>
      <c r="E71" s="220"/>
      <c r="F71" s="53"/>
      <c r="G71" s="53"/>
      <c r="H71" s="217"/>
      <c r="I71" s="11"/>
      <c r="J71" s="22"/>
      <c r="K71" s="22"/>
      <c r="L71" s="22"/>
      <c r="M71" s="24"/>
      <c r="N71" s="23"/>
      <c r="O71" s="23"/>
      <c r="P71" s="23"/>
      <c r="Q71" s="23"/>
      <c r="R71" s="83"/>
      <c r="S71" s="83"/>
      <c r="T71" s="83"/>
      <c r="U71" s="83"/>
      <c r="V71" s="83"/>
      <c r="W71" s="68"/>
      <c r="X71"/>
      <c r="Y71" s="229"/>
      <c r="Z71" s="19">
        <v>387</v>
      </c>
    </row>
    <row r="72" spans="1:28" ht="12.75" hidden="1" x14ac:dyDescent="0.2">
      <c r="A72"/>
      <c r="B72"/>
      <c r="C72"/>
      <c r="D72" s="23"/>
      <c r="E72" s="220"/>
      <c r="F72" s="53"/>
      <c r="G72" s="53"/>
      <c r="H72" s="217"/>
      <c r="I72" s="11"/>
      <c r="J72" s="22"/>
      <c r="K72" s="22"/>
      <c r="L72" s="22"/>
      <c r="M72" s="24"/>
      <c r="N72" s="23"/>
      <c r="O72" s="23"/>
      <c r="P72" s="23"/>
      <c r="Q72" s="23"/>
      <c r="R72" s="83"/>
      <c r="S72" s="83"/>
      <c r="T72" s="83"/>
      <c r="U72" s="83"/>
      <c r="V72" s="83"/>
      <c r="W72" s="68"/>
      <c r="X72"/>
      <c r="Y72" s="229"/>
      <c r="Z72" s="19">
        <v>388</v>
      </c>
    </row>
    <row r="73" spans="1:28" ht="12.75" hidden="1" x14ac:dyDescent="0.2">
      <c r="A73"/>
      <c r="B73"/>
      <c r="C73"/>
      <c r="D73" s="23"/>
      <c r="E73" s="220"/>
      <c r="F73" s="53"/>
      <c r="G73" s="53"/>
      <c r="H73" s="217"/>
      <c r="I73" s="11"/>
      <c r="J73" s="22"/>
      <c r="K73" s="22"/>
      <c r="L73" s="22"/>
      <c r="M73" s="24"/>
      <c r="N73" s="23"/>
      <c r="O73" s="23"/>
      <c r="P73" s="23"/>
      <c r="Q73" s="23"/>
      <c r="R73" s="83"/>
      <c r="S73" s="83"/>
      <c r="T73" s="83"/>
      <c r="U73" s="83"/>
      <c r="V73" s="83"/>
      <c r="W73" s="68"/>
      <c r="X73"/>
      <c r="Y73" s="229"/>
      <c r="Z73" s="19">
        <v>389</v>
      </c>
    </row>
    <row r="74" spans="1:28" ht="12.75" hidden="1" x14ac:dyDescent="0.2">
      <c r="A74"/>
      <c r="B74"/>
      <c r="C74"/>
      <c r="D74" s="23"/>
      <c r="E74" s="220"/>
      <c r="F74" s="53"/>
      <c r="G74" s="53"/>
      <c r="H74" s="217"/>
      <c r="I74" s="11"/>
      <c r="J74" s="22"/>
      <c r="K74" s="22"/>
      <c r="L74" s="22"/>
      <c r="M74" s="24"/>
      <c r="N74" s="4" t="s">
        <v>29</v>
      </c>
      <c r="O74" s="4" t="s">
        <v>29</v>
      </c>
      <c r="P74" s="4" t="s">
        <v>29</v>
      </c>
      <c r="Q74" s="4" t="s">
        <v>29</v>
      </c>
      <c r="R74" s="83"/>
      <c r="S74" s="83"/>
      <c r="T74" s="83"/>
      <c r="U74" s="83"/>
      <c r="V74" s="83"/>
      <c r="X74" s="6" t="s">
        <v>35</v>
      </c>
      <c r="Y74" s="225"/>
      <c r="Z74" s="19">
        <v>390</v>
      </c>
    </row>
    <row r="75" spans="1:28" ht="12.75" hidden="1" x14ac:dyDescent="0.2">
      <c r="A75"/>
      <c r="N75" s="4" t="s">
        <v>142</v>
      </c>
      <c r="O75" s="4" t="s">
        <v>142</v>
      </c>
      <c r="P75" s="4" t="s">
        <v>142</v>
      </c>
      <c r="Q75" s="4"/>
      <c r="X75" s="6"/>
      <c r="Y75" s="225"/>
      <c r="Z75" s="19">
        <v>391</v>
      </c>
    </row>
    <row r="76" spans="1:28" hidden="1" x14ac:dyDescent="0.15">
      <c r="A76" s="4" t="s">
        <v>384</v>
      </c>
      <c r="D76" s="4" t="s">
        <v>2</v>
      </c>
      <c r="G76" s="235"/>
      <c r="I76" s="6">
        <f>SUMIF($A$4:$A$17,"=Oticon AS",I$4:I$17)</f>
        <v>0</v>
      </c>
      <c r="J76" s="60">
        <f>SUMIF($A$4:$A$17,"=OT",J$4:J$17)</f>
        <v>0</v>
      </c>
      <c r="K76" s="60">
        <f>SUMIF($A$4:$A$17,"=Oticon AS",K$4:K$17)</f>
        <v>0</v>
      </c>
      <c r="L76" s="60">
        <f>SUMIF($A$4:$A$17,"=Oticon AS",L$4:L$17)</f>
        <v>0</v>
      </c>
      <c r="M76" s="72">
        <f>SUMIF($A$4:$A$17,"=Oticon AS",M$4:M$17)</f>
        <v>0</v>
      </c>
      <c r="N76" s="70">
        <f t="shared" ref="N76:P84" si="16">I76/I$85</f>
        <v>0</v>
      </c>
      <c r="O76" s="70" t="e">
        <f t="shared" si="16"/>
        <v>#DIV/0!</v>
      </c>
      <c r="P76" s="70">
        <f t="shared" si="16"/>
        <v>0</v>
      </c>
      <c r="Q76" s="70">
        <f t="shared" ref="Q76:Q84" si="17">M76/M$85</f>
        <v>0</v>
      </c>
      <c r="R76" s="60">
        <f>SUMIF($A$4:$A$17,"=Oticon AS",R$4:R$17)</f>
        <v>0</v>
      </c>
      <c r="S76" s="84"/>
      <c r="T76" s="84"/>
      <c r="U76" s="84"/>
      <c r="V76" s="84"/>
      <c r="W76" s="60">
        <f>SUMIF($A$4:$A$17,"=Oticon AS",W$4:W$17)</f>
        <v>0</v>
      </c>
      <c r="X76" s="18">
        <f t="shared" ref="X76:X84" si="18">R76/R$85</f>
        <v>0</v>
      </c>
      <c r="Y76" s="230"/>
      <c r="Z76" s="19">
        <v>392</v>
      </c>
    </row>
    <row r="77" spans="1:28" hidden="1" x14ac:dyDescent="0.15">
      <c r="A77" s="4" t="s">
        <v>375</v>
      </c>
      <c r="D77" s="4" t="s">
        <v>3</v>
      </c>
      <c r="G77" s="235"/>
      <c r="I77" s="6">
        <f>SUMIF($A$4:$A$17,"=Phonak AS",I$4:I$17)</f>
        <v>0</v>
      </c>
      <c r="J77" s="60">
        <f>SUMIF($A$4:$A$17,"=PK",J$4:J$17)</f>
        <v>0</v>
      </c>
      <c r="K77" s="60">
        <f>SUMIF($A$4:$A$17,"=Phonak AS",K$4:K$17)</f>
        <v>0</v>
      </c>
      <c r="L77" s="60">
        <f>SUMIF($A$4:$A$17,"=Phonak AS",L$4:L$17)</f>
        <v>0</v>
      </c>
      <c r="M77" s="72">
        <f>SUMIF($A$4:$A$17,"=Phonak AS",M$4:M$17)</f>
        <v>0</v>
      </c>
      <c r="N77" s="70">
        <f t="shared" si="16"/>
        <v>0</v>
      </c>
      <c r="O77" s="70" t="e">
        <f t="shared" si="16"/>
        <v>#DIV/0!</v>
      </c>
      <c r="P77" s="70">
        <f t="shared" si="16"/>
        <v>0</v>
      </c>
      <c r="Q77" s="70">
        <f t="shared" si="17"/>
        <v>0</v>
      </c>
      <c r="R77" s="60">
        <f>SUMIF($A$4:$A$17,"=Phonak AS",R$4:R$17)</f>
        <v>0</v>
      </c>
      <c r="S77" s="85"/>
      <c r="T77" s="85"/>
      <c r="U77" s="85"/>
      <c r="V77" s="85"/>
      <c r="W77" s="60">
        <f>SUMIF($A$4:$A$17,"=Phonak AS",W$4:W$17)</f>
        <v>0</v>
      </c>
      <c r="X77" s="18">
        <f t="shared" si="18"/>
        <v>0</v>
      </c>
      <c r="Y77" s="230"/>
      <c r="Z77" s="19">
        <v>394</v>
      </c>
    </row>
    <row r="78" spans="1:28" hidden="1" x14ac:dyDescent="0.15">
      <c r="A78" s="4" t="s">
        <v>1</v>
      </c>
      <c r="D78" s="4" t="s">
        <v>1</v>
      </c>
      <c r="G78" s="235"/>
      <c r="I78" s="6">
        <f>SUMIF($A$4:$A$17,"=Medisan",I$4:I$17)</f>
        <v>0</v>
      </c>
      <c r="J78" s="60">
        <f>SUMIF($A$4:$A$17,"=MI",J$4:J$17)</f>
        <v>0</v>
      </c>
      <c r="K78" s="60">
        <f>SUMIF($A$4:$A$17,"=Medisan",K$4:K$17)</f>
        <v>0</v>
      </c>
      <c r="L78" s="60">
        <f>SUMIF($A$4:$A$17,"=Medisan",L$4:L$17)</f>
        <v>0</v>
      </c>
      <c r="M78" s="72">
        <f>SUMIF($A$4:$A$17,"=Medisan",M$4:M$17)</f>
        <v>0</v>
      </c>
      <c r="N78" s="70">
        <f t="shared" si="16"/>
        <v>0</v>
      </c>
      <c r="O78" s="70" t="e">
        <f t="shared" si="16"/>
        <v>#DIV/0!</v>
      </c>
      <c r="P78" s="70">
        <f t="shared" si="16"/>
        <v>0</v>
      </c>
      <c r="Q78" s="70">
        <f>M78/M$85</f>
        <v>0</v>
      </c>
      <c r="R78" s="60">
        <f>SUMIF($A$4:$A$17,"=Medisan",R$4:R$17)</f>
        <v>0</v>
      </c>
      <c r="S78" s="84"/>
      <c r="T78" s="84"/>
      <c r="U78" s="84"/>
      <c r="V78" s="84"/>
      <c r="W78" s="60">
        <f>SUMIF($A$4:$A$17,"=Medisan",W$4:W$17)</f>
        <v>0</v>
      </c>
      <c r="X78" s="18">
        <f>R78/R$85</f>
        <v>0</v>
      </c>
      <c r="Y78" s="230"/>
      <c r="Z78" s="19">
        <v>395</v>
      </c>
    </row>
    <row r="79" spans="1:28" hidden="1" x14ac:dyDescent="0.15">
      <c r="A79" s="4" t="s">
        <v>388</v>
      </c>
      <c r="D79" s="4" t="s">
        <v>95</v>
      </c>
      <c r="G79" s="235"/>
      <c r="I79" s="6">
        <f>SUMIF($A$4:$A$17,"=GN ReSound Norge AS",I$4:I$17)</f>
        <v>0</v>
      </c>
      <c r="J79" s="60">
        <f>SUMIF($A$4:$A$17,"=GN",J$4:J$17)</f>
        <v>0</v>
      </c>
      <c r="K79" s="60">
        <f>SUMIF($A$4:$A$17,"=GN ReSound Norge AS",K$4:K$17)</f>
        <v>0</v>
      </c>
      <c r="L79" s="60">
        <f>SUMIF($A$4:$A$17,"=GN ReSound Norge AS",L$4:L$17)</f>
        <v>0</v>
      </c>
      <c r="M79" s="72">
        <f>SUMIF($A$4:$A$17,"=GN ReSound Norge AS",M$4:M$17)</f>
        <v>1</v>
      </c>
      <c r="N79" s="70">
        <f t="shared" si="16"/>
        <v>0</v>
      </c>
      <c r="O79" s="70" t="e">
        <f t="shared" si="16"/>
        <v>#DIV/0!</v>
      </c>
      <c r="P79" s="70">
        <f t="shared" si="16"/>
        <v>0</v>
      </c>
      <c r="Q79" s="70">
        <f>M79/M$85</f>
        <v>4.3177892918825559E-4</v>
      </c>
      <c r="R79" s="60">
        <f>SUMIF($A$4:$A$17,"=GN ReSound Norge AS",R$4:R$17)</f>
        <v>2800</v>
      </c>
      <c r="S79" s="84"/>
      <c r="T79" s="84"/>
      <c r="U79" s="84"/>
      <c r="V79" s="84"/>
      <c r="W79" s="60">
        <f>SUMIF($A$4:$A$17,"=GN ReSound Norge AS",W$4:W$17)</f>
        <v>2608</v>
      </c>
      <c r="X79" s="18">
        <f>R79/R$85</f>
        <v>5.8248448354949404E-4</v>
      </c>
      <c r="Y79" s="230"/>
      <c r="Z79" s="19">
        <v>393</v>
      </c>
    </row>
    <row r="80" spans="1:28" hidden="1" x14ac:dyDescent="0.15">
      <c r="A80" s="4" t="s">
        <v>382</v>
      </c>
      <c r="D80" s="4" t="s">
        <v>0</v>
      </c>
      <c r="G80" s="235"/>
      <c r="I80" s="6">
        <f>SUMIF($A$4:$A$17,"=Gewa AS",I$4:I$17)</f>
        <v>0</v>
      </c>
      <c r="J80" s="60">
        <f>SUMIF($A$4:$A$17,"=GW",J$4:J$17)</f>
        <v>0</v>
      </c>
      <c r="K80" s="60">
        <f>SUMIF($A$4:$A$17,"=Gewa AS",K$4:K$17)</f>
        <v>0</v>
      </c>
      <c r="L80" s="60">
        <f>SUMIF($A$4:$A$17,"=GW",L$4:L$17)</f>
        <v>0</v>
      </c>
      <c r="M80" s="72">
        <f>SUMIF($A$4:$A$17,"=Gewa AS",M$4:M$17)</f>
        <v>0</v>
      </c>
      <c r="N80" s="70">
        <f t="shared" si="16"/>
        <v>0</v>
      </c>
      <c r="O80" s="70" t="e">
        <f t="shared" si="16"/>
        <v>#DIV/0!</v>
      </c>
      <c r="P80" s="70">
        <f t="shared" si="16"/>
        <v>0</v>
      </c>
      <c r="Q80" s="70">
        <f>M80/M$85</f>
        <v>0</v>
      </c>
      <c r="R80" s="60">
        <f>SUMIF($A$4:$A$17,"=Gewa AS",R$4:R$17)</f>
        <v>0</v>
      </c>
      <c r="S80" s="84"/>
      <c r="T80" s="84"/>
      <c r="U80" s="84"/>
      <c r="V80" s="84"/>
      <c r="W80" s="60">
        <f>SUMIF($A$4:$A$17,"=Gewa AS",W$4:W$17)</f>
        <v>0</v>
      </c>
      <c r="X80" s="18">
        <f>R80/R$85</f>
        <v>0</v>
      </c>
      <c r="Y80" s="230"/>
      <c r="Z80" s="19">
        <v>397</v>
      </c>
    </row>
    <row r="81" spans="1:28" hidden="1" x14ac:dyDescent="0.15">
      <c r="A81" s="4" t="s">
        <v>377</v>
      </c>
      <c r="D81" s="4" t="s">
        <v>131</v>
      </c>
      <c r="G81" s="235"/>
      <c r="I81" s="6">
        <f>SUMIF($A$4:$A$17,"=Siemens Høreapparater AS",I$4:I$17)</f>
        <v>0</v>
      </c>
      <c r="J81" s="60">
        <f>SUMIF($A$4:$A$17,"=SIE",J$4:J$17)</f>
        <v>0</v>
      </c>
      <c r="K81" s="60">
        <f>SUMIF($A$4:$A$17,"=Siemens Høreapparater AS",K$4:K$17)</f>
        <v>0</v>
      </c>
      <c r="L81" s="60">
        <f>SUMIF($A$4:$A$17,"=Siemens Høreapparater AS",L$4:L$17)</f>
        <v>0</v>
      </c>
      <c r="M81" s="72">
        <f>SUMIF($A$4:$A$17,"=Siemens Høreapparater AS",M$4:M$17)</f>
        <v>0</v>
      </c>
      <c r="N81" s="70">
        <f t="shared" si="16"/>
        <v>0</v>
      </c>
      <c r="O81" s="70" t="e">
        <f t="shared" si="16"/>
        <v>#DIV/0!</v>
      </c>
      <c r="P81" s="70">
        <f t="shared" si="16"/>
        <v>0</v>
      </c>
      <c r="Q81" s="70">
        <f t="shared" si="17"/>
        <v>0</v>
      </c>
      <c r="R81" s="60">
        <f>SUMIF($A$4:$A$17,"=Siemens Høreapparater AS",R$4:R$17)</f>
        <v>0</v>
      </c>
      <c r="S81" s="85"/>
      <c r="T81" s="85"/>
      <c r="U81" s="85"/>
      <c r="V81" s="85"/>
      <c r="W81" s="60">
        <f>SUMIF($A$4:$A$17,"=Siemens Høreapparater AS",W$4:W$17)</f>
        <v>0</v>
      </c>
      <c r="X81" s="18">
        <f>R81/R$85</f>
        <v>0</v>
      </c>
      <c r="Y81" s="230"/>
      <c r="Z81" s="19">
        <v>396</v>
      </c>
    </row>
    <row r="82" spans="1:28" s="31" customFormat="1" hidden="1" x14ac:dyDescent="0.15">
      <c r="A82" s="4" t="s">
        <v>386</v>
      </c>
      <c r="B82" s="4"/>
      <c r="C82" s="4"/>
      <c r="D82" s="4" t="s">
        <v>36</v>
      </c>
      <c r="E82" s="159"/>
      <c r="F82" s="5"/>
      <c r="G82" s="235"/>
      <c r="H82" s="5"/>
      <c r="I82" s="6">
        <f>SUMIF($A$4:$A$17,"=Medus AS",I$4:I$17)</f>
        <v>564</v>
      </c>
      <c r="J82" s="60">
        <f>SUMIF($A$4:$A$17,"=MU",J$4:J$17)</f>
        <v>0</v>
      </c>
      <c r="K82" s="60">
        <f>SUMIF($A$4:$A$17,"=Medus AS",K$4:K$17)</f>
        <v>459</v>
      </c>
      <c r="L82" s="60">
        <f>SUMIF($A$4:$A$17,"=MU",L$4:L$17)</f>
        <v>0</v>
      </c>
      <c r="M82" s="72">
        <f>SUMIF($A$4:$A$17,"=Medus AS",M$4:M$17)</f>
        <v>2315</v>
      </c>
      <c r="N82" s="70">
        <f t="shared" si="16"/>
        <v>1</v>
      </c>
      <c r="O82" s="70" t="e">
        <f t="shared" si="16"/>
        <v>#DIV/0!</v>
      </c>
      <c r="P82" s="70">
        <f t="shared" si="16"/>
        <v>1</v>
      </c>
      <c r="Q82" s="70">
        <f t="shared" si="17"/>
        <v>0.99956822107081178</v>
      </c>
      <c r="R82" s="60">
        <f>SUMIF($A$4:$A$17,"=Medus AS",R$4:R$17)</f>
        <v>4804195</v>
      </c>
      <c r="S82" s="86"/>
      <c r="T82" s="86"/>
      <c r="U82" s="86"/>
      <c r="V82" s="86"/>
      <c r="W82" s="60">
        <f>SUMIF($A$4:$A$17,"=Medus AS",W$4:W$17)</f>
        <v>4759653</v>
      </c>
      <c r="X82" s="18">
        <f t="shared" si="18"/>
        <v>0.99941751551645053</v>
      </c>
      <c r="Y82" s="230"/>
      <c r="Z82" s="19">
        <v>400</v>
      </c>
      <c r="AA82" s="19"/>
      <c r="AB82" s="19"/>
    </row>
    <row r="83" spans="1:28" hidden="1" x14ac:dyDescent="0.15">
      <c r="A83" s="4" t="s">
        <v>389</v>
      </c>
      <c r="D83" s="4" t="s">
        <v>4</v>
      </c>
      <c r="G83" s="235"/>
      <c r="I83" s="6">
        <f>SUMIF($A$4:$A$17,"=Starkey Norway AS",I$4:I$17)</f>
        <v>0</v>
      </c>
      <c r="J83" s="60">
        <f>SUMIF($A$4:$A$17,"=ST",J$4:J$17)</f>
        <v>0</v>
      </c>
      <c r="K83" s="60">
        <f>SUMIF($A$4:$A$17,"=Starkey Norway AS",K$4:K$17)</f>
        <v>0</v>
      </c>
      <c r="L83" s="60">
        <f>SUMIF($A$4:$A$17,"=Starkey Norway AS",L$4:L$17)</f>
        <v>0</v>
      </c>
      <c r="M83" s="72">
        <f>SUMIF($A$4:$A$17,"=Starkey Norway AS",M$4:M$17)</f>
        <v>0</v>
      </c>
      <c r="N83" s="70">
        <f t="shared" si="16"/>
        <v>0</v>
      </c>
      <c r="O83" s="70" t="e">
        <f t="shared" si="16"/>
        <v>#DIV/0!</v>
      </c>
      <c r="P83" s="70">
        <f t="shared" si="16"/>
        <v>0</v>
      </c>
      <c r="Q83" s="70">
        <f t="shared" si="17"/>
        <v>0</v>
      </c>
      <c r="R83" s="60">
        <f>SUMIF($A$4:$A$17,"=Starkey Norway AS",R$4:$R$17)</f>
        <v>0</v>
      </c>
      <c r="S83" s="84"/>
      <c r="T83" s="84"/>
      <c r="U83" s="84"/>
      <c r="V83" s="84"/>
      <c r="W83" s="60">
        <f>SUMIF($A$4:$A$17,"=Starkey Norway AS",$R$4:W$17)</f>
        <v>0</v>
      </c>
      <c r="X83" s="18">
        <f t="shared" si="18"/>
        <v>0</v>
      </c>
      <c r="Y83" s="230"/>
      <c r="Z83" s="19">
        <v>398</v>
      </c>
    </row>
    <row r="84" spans="1:28" ht="11.25" hidden="1" thickBot="1" x14ac:dyDescent="0.2">
      <c r="A84" s="4" t="s">
        <v>380</v>
      </c>
      <c r="D84" s="4" t="s">
        <v>51</v>
      </c>
      <c r="G84" s="235"/>
      <c r="I84" s="6">
        <f>SUMIF($A$4:$A$17,"=Unitron Hearing AS",I$4:I$17)</f>
        <v>0</v>
      </c>
      <c r="J84" s="60">
        <f>SUMIF($A$4:$A$17,"=UNI",J$4:J$17)</f>
        <v>0</v>
      </c>
      <c r="K84" s="60">
        <f>SUMIF($A$4:$A$17,"=Unitron Hearing AS",K$4:K$17)</f>
        <v>0</v>
      </c>
      <c r="L84" s="60">
        <f>SUMIF($A$4:$A$17,"=Unitron Hearing AS",L$4:L$17)</f>
        <v>0</v>
      </c>
      <c r="M84" s="72">
        <f>SUMIF($A$4:$A$17,"=Unitron Hearing AS",M$4:M$17)</f>
        <v>0</v>
      </c>
      <c r="N84" s="70">
        <f t="shared" si="16"/>
        <v>0</v>
      </c>
      <c r="O84" s="70" t="e">
        <f t="shared" si="16"/>
        <v>#DIV/0!</v>
      </c>
      <c r="P84" s="70">
        <f t="shared" si="16"/>
        <v>0</v>
      </c>
      <c r="Q84" s="70">
        <f t="shared" si="17"/>
        <v>0</v>
      </c>
      <c r="R84" s="60">
        <f>SUMIF($A$4:$A$17,"=Unitron Hearing AS",R$4:R$17)</f>
        <v>0</v>
      </c>
      <c r="S84" s="84"/>
      <c r="T84" s="84"/>
      <c r="U84" s="84"/>
      <c r="V84" s="84"/>
      <c r="W84" s="60">
        <f>SUMIF($A$4:$A$17,"=Unitron Hearing AS",W$4:W$17)</f>
        <v>0</v>
      </c>
      <c r="X84" s="18">
        <f t="shared" si="18"/>
        <v>0</v>
      </c>
      <c r="Y84" s="230"/>
      <c r="Z84" s="19">
        <v>399</v>
      </c>
    </row>
    <row r="85" spans="1:28" s="26" customFormat="1" ht="13.5" hidden="1" thickBot="1" x14ac:dyDescent="0.25">
      <c r="A85" s="29"/>
      <c r="B85" s="27"/>
      <c r="C85" s="27"/>
      <c r="D85" s="27" t="s">
        <v>5</v>
      </c>
      <c r="E85" s="165"/>
      <c r="F85" s="28"/>
      <c r="G85" s="61"/>
      <c r="H85" s="28"/>
      <c r="I85" s="61">
        <f t="shared" ref="I85:O85" si="19">SUM(I76:I84)</f>
        <v>564</v>
      </c>
      <c r="J85" s="73">
        <f t="shared" si="19"/>
        <v>0</v>
      </c>
      <c r="K85" s="73">
        <f t="shared" si="19"/>
        <v>459</v>
      </c>
      <c r="L85" s="73">
        <f t="shared" si="19"/>
        <v>0</v>
      </c>
      <c r="M85" s="74">
        <f t="shared" si="19"/>
        <v>2316</v>
      </c>
      <c r="N85" s="71">
        <f t="shared" si="19"/>
        <v>1</v>
      </c>
      <c r="O85" s="71" t="e">
        <f t="shared" si="19"/>
        <v>#DIV/0!</v>
      </c>
      <c r="P85" s="71"/>
      <c r="Q85" s="71"/>
      <c r="R85" s="77">
        <f>SUM(R76:R84)</f>
        <v>4806995</v>
      </c>
      <c r="S85" s="77">
        <f>SUM(S76:S84)</f>
        <v>0</v>
      </c>
      <c r="T85" s="77">
        <f>SUM(T76:T84)</f>
        <v>0</v>
      </c>
      <c r="U85" s="77">
        <f>SUM(U76:U84)</f>
        <v>0</v>
      </c>
      <c r="V85" s="77"/>
      <c r="W85" s="73">
        <f>SUM(W76:W84)</f>
        <v>4762261</v>
      </c>
      <c r="X85" s="36">
        <f>SUM(X76:X84)</f>
        <v>1</v>
      </c>
      <c r="Y85" s="231"/>
      <c r="Z85" s="19">
        <v>402</v>
      </c>
      <c r="AA85" s="19"/>
      <c r="AB85" s="19"/>
    </row>
    <row r="86" spans="1:28" s="31" customFormat="1" hidden="1" x14ac:dyDescent="0.15">
      <c r="A86" s="63"/>
      <c r="B86" s="55"/>
      <c r="C86" s="55"/>
      <c r="D86" s="55"/>
      <c r="E86" s="161"/>
      <c r="F86" s="56"/>
      <c r="G86" s="56"/>
      <c r="H86" s="56"/>
      <c r="J86" s="35"/>
      <c r="K86" s="35"/>
      <c r="L86" s="35"/>
      <c r="M86" s="64"/>
      <c r="N86" s="57"/>
      <c r="O86" s="57"/>
      <c r="P86" s="57"/>
      <c r="Q86" s="57"/>
      <c r="R86" s="57"/>
      <c r="S86" s="57"/>
      <c r="T86" s="57"/>
      <c r="U86" s="57"/>
      <c r="V86" s="57"/>
      <c r="W86" s="55"/>
      <c r="Y86" s="232"/>
      <c r="Z86" s="19">
        <v>403</v>
      </c>
      <c r="AA86" s="19"/>
      <c r="AB86" s="19"/>
    </row>
    <row r="87" spans="1:28" hidden="1" x14ac:dyDescent="0.15"/>
    <row r="88" spans="1:28" hidden="1" x14ac:dyDescent="0.15"/>
    <row r="89" spans="1:28" hidden="1" x14ac:dyDescent="0.15"/>
  </sheetData>
  <autoFilter ref="A1:AL86"/>
  <dataConsolidate/>
  <printOptions horizontalCentered="1" gridLines="1"/>
  <pageMargins left="0.31496062992125984" right="0.23622047244094491" top="0.55118110236220474" bottom="0.47244094488188981" header="0.35433070866141736" footer="0.27559055118110237"/>
  <pageSetup paperSize="9" scale="72" fitToHeight="0" orientation="portrait" horizontalDpi="1200" verticalDpi="1200" r:id="rId1"/>
  <headerFooter alignWithMargins="0">
    <oddHeader>&amp;CTinnitusmaskerere</oddHeader>
    <oddFooter>Side &amp;P av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81"/>
  <sheetViews>
    <sheetView workbookViewId="0">
      <pane xSplit="1" ySplit="3" topLeftCell="L49" activePane="bottomRight" state="frozen"/>
      <selection pane="topRight" activeCell="B1" sqref="B1"/>
      <selection pane="bottomLeft" activeCell="A4" sqref="A4"/>
      <selection pane="bottomRight" activeCell="AA80" sqref="AA80"/>
    </sheetView>
  </sheetViews>
  <sheetFormatPr baseColWidth="10" defaultRowHeight="12.75" x14ac:dyDescent="0.2"/>
  <cols>
    <col min="1" max="1" width="14.5703125" customWidth="1"/>
    <col min="2" max="2" width="6.42578125" bestFit="1" customWidth="1"/>
    <col min="3" max="5" width="6.42578125" customWidth="1"/>
    <col min="6" max="6" width="6.42578125" style="122" customWidth="1"/>
    <col min="7" max="7" width="11.42578125" style="318"/>
    <col min="8" max="8" width="9.85546875" bestFit="1" customWidth="1"/>
    <col min="9" max="9" width="1.85546875" customWidth="1"/>
    <col min="10" max="10" width="18.140625" customWidth="1"/>
    <col min="11" max="11" width="5.5703125" bestFit="1" customWidth="1"/>
    <col min="12" max="14" width="5.5703125" customWidth="1"/>
    <col min="15" max="15" width="5.5703125" style="122" customWidth="1"/>
    <col min="16" max="16" width="9" style="279" customWidth="1"/>
    <col min="17" max="17" width="8.7109375" bestFit="1" customWidth="1"/>
    <col min="18" max="18" width="1.85546875" customWidth="1"/>
    <col min="19" max="19" width="15.7109375" bestFit="1" customWidth="1"/>
    <col min="20" max="24" width="5.7109375" customWidth="1"/>
    <col min="25" max="26" width="8.7109375" bestFit="1" customWidth="1"/>
  </cols>
  <sheetData>
    <row r="1" spans="1:27" x14ac:dyDescent="0.2">
      <c r="A1" s="91" t="s">
        <v>69</v>
      </c>
      <c r="B1" s="91" t="s">
        <v>112</v>
      </c>
      <c r="C1" s="91" t="s">
        <v>113</v>
      </c>
      <c r="D1" s="91" t="s">
        <v>114</v>
      </c>
      <c r="E1" s="91" t="s">
        <v>115</v>
      </c>
      <c r="F1" s="117" t="s">
        <v>13</v>
      </c>
      <c r="G1" s="316" t="s">
        <v>98</v>
      </c>
      <c r="H1" s="91" t="s">
        <v>91</v>
      </c>
      <c r="I1" s="92"/>
      <c r="J1" s="93" t="s">
        <v>69</v>
      </c>
      <c r="K1" s="93" t="s">
        <v>112</v>
      </c>
      <c r="L1" s="93" t="s">
        <v>113</v>
      </c>
      <c r="M1" s="93" t="s">
        <v>114</v>
      </c>
      <c r="N1" s="93" t="s">
        <v>115</v>
      </c>
      <c r="O1" s="123" t="s">
        <v>13</v>
      </c>
      <c r="P1" s="321" t="s">
        <v>63</v>
      </c>
      <c r="Q1" s="93" t="s">
        <v>92</v>
      </c>
      <c r="R1" s="92"/>
      <c r="S1" s="245" t="s">
        <v>69</v>
      </c>
      <c r="T1" s="245" t="s">
        <v>112</v>
      </c>
      <c r="U1" s="245" t="s">
        <v>113</v>
      </c>
      <c r="V1" s="245" t="s">
        <v>114</v>
      </c>
      <c r="W1" s="245" t="s">
        <v>115</v>
      </c>
      <c r="X1" s="246" t="s">
        <v>13</v>
      </c>
      <c r="Y1" s="245" t="s">
        <v>63</v>
      </c>
      <c r="Z1" s="245" t="s">
        <v>92</v>
      </c>
      <c r="AA1" s="396" t="s">
        <v>5</v>
      </c>
    </row>
    <row r="2" spans="1:27" x14ac:dyDescent="0.2">
      <c r="A2" s="155" t="s">
        <v>70</v>
      </c>
      <c r="B2" s="91" t="s">
        <v>14</v>
      </c>
      <c r="C2" s="91" t="s">
        <v>14</v>
      </c>
      <c r="D2" s="91" t="s">
        <v>14</v>
      </c>
      <c r="E2" s="91" t="s">
        <v>14</v>
      </c>
      <c r="F2" s="341" t="s">
        <v>576</v>
      </c>
      <c r="G2" s="316" t="s">
        <v>93</v>
      </c>
      <c r="H2" s="91" t="s">
        <v>93</v>
      </c>
      <c r="I2" s="92"/>
      <c r="J2" s="156" t="s">
        <v>195</v>
      </c>
      <c r="K2" s="93" t="s">
        <v>14</v>
      </c>
      <c r="L2" s="93" t="s">
        <v>14</v>
      </c>
      <c r="M2" s="93" t="s">
        <v>14</v>
      </c>
      <c r="N2" s="93" t="s">
        <v>14</v>
      </c>
      <c r="O2" s="123" t="s">
        <v>205</v>
      </c>
      <c r="P2" s="321" t="s">
        <v>93</v>
      </c>
      <c r="Q2" s="93" t="s">
        <v>93</v>
      </c>
      <c r="R2" s="92"/>
      <c r="S2" s="247" t="s">
        <v>194</v>
      </c>
      <c r="T2" s="245" t="s">
        <v>14</v>
      </c>
      <c r="U2" s="245" t="s">
        <v>14</v>
      </c>
      <c r="V2" s="245" t="s">
        <v>14</v>
      </c>
      <c r="W2" s="245" t="s">
        <v>14</v>
      </c>
      <c r="X2" s="394" t="s">
        <v>688</v>
      </c>
      <c r="Y2" s="245" t="s">
        <v>93</v>
      </c>
      <c r="Z2" s="245" t="s">
        <v>93</v>
      </c>
      <c r="AA2" s="396" t="s">
        <v>697</v>
      </c>
    </row>
    <row r="3" spans="1:27" x14ac:dyDescent="0.2">
      <c r="A3" s="155"/>
      <c r="B3" s="91"/>
      <c r="C3" s="91"/>
      <c r="D3" s="91"/>
      <c r="E3" s="91"/>
      <c r="F3" s="118"/>
      <c r="G3" s="316" t="s">
        <v>94</v>
      </c>
      <c r="H3" s="91" t="s">
        <v>94</v>
      </c>
      <c r="I3" s="92"/>
      <c r="J3" s="156" t="s">
        <v>196</v>
      </c>
      <c r="K3" s="93"/>
      <c r="L3" s="93"/>
      <c r="M3" s="93"/>
      <c r="N3" s="93"/>
      <c r="O3" s="125"/>
      <c r="P3" s="321"/>
      <c r="Q3" s="93"/>
      <c r="R3" s="92"/>
      <c r="S3" s="247" t="s">
        <v>70</v>
      </c>
      <c r="T3" s="245"/>
      <c r="U3" s="245"/>
      <c r="V3" s="245"/>
      <c r="W3" s="245"/>
      <c r="X3" s="394" t="s">
        <v>689</v>
      </c>
      <c r="Y3" s="245"/>
      <c r="Z3" s="245"/>
      <c r="AA3" s="397"/>
    </row>
    <row r="4" spans="1:27" x14ac:dyDescent="0.2">
      <c r="A4" s="23"/>
      <c r="B4" s="23"/>
      <c r="C4" s="23"/>
      <c r="D4" s="23"/>
      <c r="E4" s="23"/>
      <c r="F4" s="119"/>
      <c r="G4" s="317"/>
      <c r="H4" s="95"/>
      <c r="I4" s="99"/>
      <c r="J4" s="95"/>
      <c r="K4" s="95"/>
      <c r="L4" s="95"/>
      <c r="M4" s="95"/>
      <c r="N4" s="95"/>
      <c r="O4" s="119"/>
      <c r="P4" s="278"/>
      <c r="Q4" s="95"/>
      <c r="R4" s="99"/>
    </row>
    <row r="5" spans="1:27" ht="15.75" x14ac:dyDescent="0.25">
      <c r="A5" s="94" t="s">
        <v>0</v>
      </c>
      <c r="B5" s="23"/>
      <c r="C5" s="23"/>
      <c r="D5" s="23"/>
      <c r="E5" s="23"/>
      <c r="F5" s="119"/>
      <c r="H5" s="23"/>
      <c r="I5" s="92"/>
      <c r="J5" s="23"/>
      <c r="K5" s="23"/>
      <c r="L5" s="23"/>
      <c r="M5" s="23"/>
      <c r="N5" s="23"/>
      <c r="O5" s="119"/>
      <c r="Q5" s="23"/>
      <c r="R5" s="92"/>
      <c r="S5" s="23"/>
      <c r="T5" s="23"/>
      <c r="U5" s="23"/>
      <c r="V5" s="23"/>
      <c r="W5" s="23"/>
      <c r="Y5" s="23"/>
      <c r="Z5" s="23"/>
    </row>
    <row r="6" spans="1:27" x14ac:dyDescent="0.2">
      <c r="A6" s="23" t="s">
        <v>64</v>
      </c>
      <c r="B6" s="23"/>
      <c r="C6" s="23"/>
      <c r="D6" s="23"/>
      <c r="E6" s="95"/>
      <c r="F6" s="119">
        <f>SUM(B6:E6)</f>
        <v>0</v>
      </c>
      <c r="G6" s="317">
        <v>0</v>
      </c>
      <c r="H6" s="95">
        <f>F6*G6</f>
        <v>0</v>
      </c>
      <c r="I6" s="99"/>
      <c r="J6" s="95" t="s">
        <v>64</v>
      </c>
      <c r="K6" s="95"/>
      <c r="L6" s="95"/>
      <c r="M6" s="95"/>
      <c r="N6" s="95"/>
      <c r="O6" s="119">
        <f t="shared" ref="O6:O10" si="0">SUM(K6:N6)</f>
        <v>0</v>
      </c>
      <c r="P6" s="278"/>
      <c r="Q6" s="95">
        <f>O6*P6</f>
        <v>0</v>
      </c>
      <c r="R6" s="99"/>
    </row>
    <row r="7" spans="1:27" x14ac:dyDescent="0.2">
      <c r="A7" s="23" t="s">
        <v>65</v>
      </c>
      <c r="B7" s="279">
        <v>87</v>
      </c>
      <c r="C7" s="279">
        <v>23</v>
      </c>
      <c r="D7" s="279">
        <v>201</v>
      </c>
      <c r="E7" s="278">
        <v>401</v>
      </c>
      <c r="F7" s="119">
        <f>SUM(B7:E7)</f>
        <v>712</v>
      </c>
      <c r="G7" s="317">
        <v>720</v>
      </c>
      <c r="H7" s="95">
        <f>F7*G7</f>
        <v>512640</v>
      </c>
      <c r="I7" s="99"/>
      <c r="J7" s="95" t="s">
        <v>65</v>
      </c>
      <c r="K7" s="95"/>
      <c r="L7" s="95"/>
      <c r="M7" s="95"/>
      <c r="N7" s="95"/>
      <c r="O7" s="119">
        <f t="shared" si="0"/>
        <v>0</v>
      </c>
      <c r="P7" s="278"/>
      <c r="Q7" s="95">
        <f>O7*P7</f>
        <v>0</v>
      </c>
      <c r="R7" s="99"/>
    </row>
    <row r="8" spans="1:27" x14ac:dyDescent="0.2">
      <c r="A8" s="23" t="s">
        <v>66</v>
      </c>
      <c r="B8" s="23"/>
      <c r="C8" s="23"/>
      <c r="D8" s="23"/>
      <c r="E8" s="95"/>
      <c r="F8" s="119">
        <f>SUM(B8:E8)</f>
        <v>0</v>
      </c>
      <c r="G8" s="317">
        <v>0</v>
      </c>
      <c r="H8" s="95">
        <f>F8*G8</f>
        <v>0</v>
      </c>
      <c r="I8" s="99"/>
      <c r="J8" s="95" t="s">
        <v>66</v>
      </c>
      <c r="K8" s="95"/>
      <c r="L8" s="95"/>
      <c r="M8" s="95"/>
      <c r="N8" s="95"/>
      <c r="O8" s="119">
        <f t="shared" si="0"/>
        <v>0</v>
      </c>
      <c r="P8" s="278"/>
      <c r="Q8" s="95">
        <f>O8*P8</f>
        <v>0</v>
      </c>
      <c r="R8" s="99"/>
    </row>
    <row r="9" spans="1:27" x14ac:dyDescent="0.2">
      <c r="A9" s="23" t="s">
        <v>67</v>
      </c>
      <c r="B9" s="23"/>
      <c r="C9" s="23"/>
      <c r="D9" s="23"/>
      <c r="E9" s="95"/>
      <c r="F9" s="119">
        <f>SUM(B9:E9)</f>
        <v>0</v>
      </c>
      <c r="G9" s="317">
        <v>1560</v>
      </c>
      <c r="H9" s="95">
        <f>F9*G9</f>
        <v>0</v>
      </c>
      <c r="I9" s="99"/>
      <c r="J9" s="95" t="s">
        <v>67</v>
      </c>
      <c r="K9" s="95"/>
      <c r="L9" s="95"/>
      <c r="M9" s="95"/>
      <c r="N9" s="95"/>
      <c r="O9" s="119">
        <f t="shared" si="0"/>
        <v>0</v>
      </c>
      <c r="P9" s="278"/>
      <c r="Q9" s="95">
        <f>O9*P9</f>
        <v>0</v>
      </c>
      <c r="R9" s="99"/>
    </row>
    <row r="10" spans="1:27" x14ac:dyDescent="0.2">
      <c r="A10" s="30" t="s">
        <v>5</v>
      </c>
      <c r="B10" s="96"/>
      <c r="C10" s="96"/>
      <c r="D10" s="96"/>
      <c r="E10" s="96"/>
      <c r="F10" s="120"/>
      <c r="G10" s="319"/>
      <c r="H10" s="96">
        <f>SUM(H6:H9)</f>
        <v>512640</v>
      </c>
      <c r="I10" s="100"/>
      <c r="J10" s="96" t="s">
        <v>5</v>
      </c>
      <c r="K10" s="96"/>
      <c r="L10" s="96"/>
      <c r="M10" s="96"/>
      <c r="N10" s="96"/>
      <c r="O10" s="120">
        <f t="shared" si="0"/>
        <v>0</v>
      </c>
      <c r="P10" s="323"/>
      <c r="Q10" s="96">
        <f>SUM(Q6:Q9)</f>
        <v>0</v>
      </c>
      <c r="R10" s="100"/>
    </row>
    <row r="11" spans="1:27" x14ac:dyDescent="0.2">
      <c r="A11" s="89"/>
      <c r="B11" s="98"/>
      <c r="C11" s="98"/>
      <c r="D11" s="98"/>
      <c r="E11" s="98"/>
      <c r="F11" s="121"/>
      <c r="G11" s="320"/>
      <c r="H11" s="98"/>
      <c r="I11" s="102"/>
      <c r="J11" s="98"/>
      <c r="K11" s="98"/>
      <c r="L11" s="98"/>
      <c r="M11" s="98"/>
      <c r="N11" s="98"/>
      <c r="O11" s="121"/>
      <c r="P11" s="324"/>
      <c r="Q11" s="98"/>
      <c r="R11" s="102"/>
    </row>
    <row r="12" spans="1:27" ht="15.75" x14ac:dyDescent="0.25">
      <c r="A12" s="94" t="s">
        <v>1</v>
      </c>
      <c r="B12" s="23"/>
      <c r="C12" s="23"/>
      <c r="D12" s="23"/>
      <c r="E12" s="23"/>
      <c r="F12" s="119"/>
      <c r="H12" s="23"/>
      <c r="I12" s="92"/>
      <c r="J12" s="23"/>
      <c r="K12" s="23"/>
      <c r="L12" s="23"/>
      <c r="M12" s="23"/>
      <c r="N12" s="23"/>
      <c r="O12" s="119"/>
      <c r="Q12" s="23"/>
      <c r="R12" s="92"/>
    </row>
    <row r="13" spans="1:27" x14ac:dyDescent="0.2">
      <c r="A13" s="23" t="s">
        <v>64</v>
      </c>
      <c r="B13">
        <v>1187</v>
      </c>
      <c r="C13">
        <v>848</v>
      </c>
      <c r="D13">
        <v>811</v>
      </c>
      <c r="E13">
        <v>901</v>
      </c>
      <c r="F13" s="119">
        <f>SUM(B13:E13)</f>
        <v>3747</v>
      </c>
      <c r="G13" s="317">
        <v>350</v>
      </c>
      <c r="H13" s="95">
        <f>F13*G13</f>
        <v>1311450</v>
      </c>
      <c r="I13" s="92"/>
      <c r="J13" s="23" t="s">
        <v>64</v>
      </c>
      <c r="K13" s="95"/>
      <c r="L13" s="95"/>
      <c r="M13" s="95"/>
      <c r="N13" s="95"/>
      <c r="O13" s="119">
        <f t="shared" ref="O13:O18" si="1">SUM(K13:N13)</f>
        <v>0</v>
      </c>
      <c r="P13" s="278"/>
      <c r="Q13" s="95">
        <f>O13*P13</f>
        <v>0</v>
      </c>
      <c r="R13" s="92"/>
      <c r="S13" s="23" t="s">
        <v>64</v>
      </c>
      <c r="T13">
        <v>2</v>
      </c>
      <c r="U13">
        <v>1</v>
      </c>
      <c r="V13" s="278">
        <v>1</v>
      </c>
      <c r="W13" s="278"/>
      <c r="X13" s="119">
        <f>SUM(T13:W13)</f>
        <v>4</v>
      </c>
      <c r="Y13" s="302">
        <v>445</v>
      </c>
      <c r="Z13" s="95">
        <f>X13*Y13</f>
        <v>1780</v>
      </c>
    </row>
    <row r="14" spans="1:27" x14ac:dyDescent="0.2">
      <c r="A14" s="23" t="s">
        <v>65</v>
      </c>
      <c r="B14">
        <v>699</v>
      </c>
      <c r="C14">
        <v>800</v>
      </c>
      <c r="D14">
        <v>716</v>
      </c>
      <c r="E14">
        <v>703</v>
      </c>
      <c r="F14" s="119">
        <f>SUM(B14:E14)</f>
        <v>2918</v>
      </c>
      <c r="G14" s="317">
        <v>495</v>
      </c>
      <c r="H14" s="95">
        <f>F14*G14</f>
        <v>1444410</v>
      </c>
      <c r="I14" s="92"/>
      <c r="J14" s="23" t="s">
        <v>65</v>
      </c>
      <c r="K14" s="95"/>
      <c r="L14" s="95"/>
      <c r="M14" s="95"/>
      <c r="N14" s="95"/>
      <c r="O14" s="119">
        <f t="shared" si="1"/>
        <v>0</v>
      </c>
      <c r="P14" s="278"/>
      <c r="Q14" s="95">
        <f>O14*P14</f>
        <v>0</v>
      </c>
      <c r="R14" s="92"/>
      <c r="S14" s="23" t="s">
        <v>65</v>
      </c>
      <c r="T14">
        <v>2</v>
      </c>
      <c r="U14">
        <v>1</v>
      </c>
      <c r="V14" s="278">
        <v>3</v>
      </c>
      <c r="W14" s="278">
        <v>1</v>
      </c>
      <c r="X14" s="119">
        <f>SUM(T14:W14)</f>
        <v>7</v>
      </c>
      <c r="Y14" s="302">
        <v>990</v>
      </c>
      <c r="Z14" s="95">
        <f>X14*Y14</f>
        <v>6930</v>
      </c>
    </row>
    <row r="15" spans="1:27" x14ac:dyDescent="0.2">
      <c r="A15" s="23" t="s">
        <v>66</v>
      </c>
      <c r="B15">
        <v>387</v>
      </c>
      <c r="C15">
        <v>390</v>
      </c>
      <c r="D15">
        <v>379</v>
      </c>
      <c r="E15">
        <v>309</v>
      </c>
      <c r="F15" s="119">
        <f>SUM(B15:E15)</f>
        <v>1465</v>
      </c>
      <c r="G15" s="317">
        <v>695</v>
      </c>
      <c r="H15" s="95">
        <f>F15*G15</f>
        <v>1018175</v>
      </c>
      <c r="I15" s="92"/>
      <c r="J15" s="23" t="s">
        <v>66</v>
      </c>
      <c r="K15" s="95"/>
      <c r="L15" s="95"/>
      <c r="M15" s="95"/>
      <c r="N15" s="95"/>
      <c r="O15" s="119">
        <f t="shared" si="1"/>
        <v>0</v>
      </c>
      <c r="P15" s="278"/>
      <c r="Q15" s="95">
        <f>O15*P15</f>
        <v>0</v>
      </c>
      <c r="R15" s="92"/>
      <c r="S15" s="23" t="s">
        <v>66</v>
      </c>
      <c r="T15">
        <v>2</v>
      </c>
      <c r="V15" s="278">
        <v>3</v>
      </c>
      <c r="W15" s="278"/>
      <c r="X15" s="119">
        <f>SUM(T15:W15)</f>
        <v>5</v>
      </c>
      <c r="Y15" s="302">
        <v>1695</v>
      </c>
      <c r="Z15" s="95">
        <f>X15*Y15</f>
        <v>8475</v>
      </c>
    </row>
    <row r="16" spans="1:27" x14ac:dyDescent="0.2">
      <c r="A16" s="23" t="s">
        <v>67</v>
      </c>
      <c r="B16">
        <v>42</v>
      </c>
      <c r="C16">
        <v>47</v>
      </c>
      <c r="D16">
        <v>86</v>
      </c>
      <c r="E16">
        <v>57</v>
      </c>
      <c r="F16" s="119">
        <f>SUM(B16:E16)</f>
        <v>232</v>
      </c>
      <c r="G16" s="317">
        <v>0</v>
      </c>
      <c r="H16" s="95">
        <f>F16*G16</f>
        <v>0</v>
      </c>
      <c r="I16" s="92"/>
      <c r="J16" s="23" t="s">
        <v>67</v>
      </c>
      <c r="K16" s="95"/>
      <c r="L16" s="95"/>
      <c r="M16" s="95"/>
      <c r="N16" s="95"/>
      <c r="O16" s="119">
        <f t="shared" si="1"/>
        <v>0</v>
      </c>
      <c r="P16" s="278"/>
      <c r="Q16" s="95">
        <f>O16*P16</f>
        <v>0</v>
      </c>
      <c r="R16" s="92"/>
      <c r="S16" s="23" t="s">
        <v>67</v>
      </c>
      <c r="T16">
        <v>1</v>
      </c>
      <c r="V16" s="278">
        <v>2</v>
      </c>
      <c r="W16" s="278">
        <v>1</v>
      </c>
      <c r="X16" s="119">
        <f>SUM(T16:W16)</f>
        <v>4</v>
      </c>
      <c r="Y16" s="302">
        <v>3500</v>
      </c>
      <c r="Z16" s="95">
        <f>X16*Y16</f>
        <v>14000</v>
      </c>
    </row>
    <row r="17" spans="1:26" x14ac:dyDescent="0.2">
      <c r="A17" s="23"/>
      <c r="F17" s="119"/>
      <c r="G17" s="317"/>
      <c r="H17" s="95"/>
      <c r="I17" s="92"/>
      <c r="J17" s="23"/>
      <c r="K17" s="95"/>
      <c r="L17" s="95"/>
      <c r="M17" s="95"/>
      <c r="N17" s="95"/>
      <c r="O17" s="119"/>
      <c r="P17" s="278"/>
      <c r="Q17" s="95"/>
      <c r="R17" s="92"/>
      <c r="S17" s="23" t="s">
        <v>68</v>
      </c>
      <c r="T17">
        <v>9</v>
      </c>
      <c r="U17">
        <v>19</v>
      </c>
      <c r="V17" s="278">
        <v>22</v>
      </c>
      <c r="W17" s="278">
        <v>19</v>
      </c>
      <c r="X17" s="119">
        <f>SUM(T17:W17)</f>
        <v>69</v>
      </c>
      <c r="Y17" s="302">
        <v>3500</v>
      </c>
      <c r="Z17" s="95">
        <f>X17*Y17</f>
        <v>241500</v>
      </c>
    </row>
    <row r="18" spans="1:26" x14ac:dyDescent="0.2">
      <c r="A18" s="30" t="s">
        <v>5</v>
      </c>
      <c r="B18" s="96"/>
      <c r="C18" s="96"/>
      <c r="D18" s="96"/>
      <c r="E18" s="96"/>
      <c r="F18" s="120"/>
      <c r="G18" s="319"/>
      <c r="H18" s="96">
        <f>SUM(H13:H17)</f>
        <v>3774035</v>
      </c>
      <c r="I18" s="97"/>
      <c r="J18" s="30" t="s">
        <v>5</v>
      </c>
      <c r="K18" s="96"/>
      <c r="L18" s="96"/>
      <c r="M18" s="96"/>
      <c r="N18" s="96"/>
      <c r="O18" s="120">
        <f t="shared" si="1"/>
        <v>0</v>
      </c>
      <c r="P18" s="323"/>
      <c r="Q18" s="96">
        <f>SUM(Q13:Q17)</f>
        <v>0</v>
      </c>
      <c r="R18" s="97"/>
      <c r="S18" s="30" t="s">
        <v>5</v>
      </c>
      <c r="T18" s="96"/>
      <c r="U18" s="96"/>
      <c r="V18" s="96"/>
      <c r="W18" s="96"/>
      <c r="X18" s="96">
        <f>SUM(X13:X17)</f>
        <v>89</v>
      </c>
      <c r="Y18" s="96"/>
      <c r="Z18" s="96">
        <f>SUM(Z13:Z17)</f>
        <v>272685</v>
      </c>
    </row>
    <row r="19" spans="1:26" x14ac:dyDescent="0.2">
      <c r="A19" s="23"/>
      <c r="B19" s="23"/>
      <c r="C19" s="23"/>
      <c r="D19" s="23"/>
      <c r="E19" s="23"/>
      <c r="F19" s="119"/>
      <c r="H19" s="23"/>
      <c r="I19" s="92"/>
      <c r="J19" s="23"/>
      <c r="K19" s="23"/>
      <c r="L19" s="23"/>
      <c r="M19" s="23"/>
      <c r="N19" s="23"/>
      <c r="O19" s="119"/>
      <c r="Q19" s="23"/>
      <c r="R19" s="92"/>
    </row>
    <row r="20" spans="1:26" ht="15.75" x14ac:dyDescent="0.25">
      <c r="A20" s="101" t="s">
        <v>36</v>
      </c>
      <c r="B20" s="95"/>
      <c r="C20" s="95"/>
      <c r="D20" s="95"/>
      <c r="E20" s="95"/>
      <c r="F20" s="121"/>
      <c r="G20" s="317"/>
      <c r="H20" s="95"/>
      <c r="I20" s="99"/>
      <c r="J20" s="95"/>
      <c r="K20" s="95"/>
      <c r="L20" s="95"/>
      <c r="M20" s="95"/>
      <c r="N20" s="95"/>
      <c r="O20" s="121"/>
      <c r="P20" s="278"/>
      <c r="Q20" s="95"/>
      <c r="R20" s="99"/>
    </row>
    <row r="21" spans="1:26" x14ac:dyDescent="0.2">
      <c r="A21" s="95" t="s">
        <v>64</v>
      </c>
      <c r="B21">
        <v>38</v>
      </c>
      <c r="C21">
        <v>56</v>
      </c>
      <c r="D21">
        <v>4</v>
      </c>
      <c r="E21" s="278">
        <v>6</v>
      </c>
      <c r="F21" s="119">
        <f>SUM(B21:E21)</f>
        <v>104</v>
      </c>
      <c r="G21" s="317">
        <v>250</v>
      </c>
      <c r="H21" s="95">
        <f>F21*G21</f>
        <v>26000</v>
      </c>
      <c r="I21" s="99"/>
      <c r="J21" s="95" t="s">
        <v>64</v>
      </c>
      <c r="K21">
        <v>6</v>
      </c>
      <c r="L21">
        <v>8</v>
      </c>
      <c r="M21">
        <v>1</v>
      </c>
      <c r="N21">
        <v>1</v>
      </c>
      <c r="O21" s="119">
        <f>SUM(K21:N21)</f>
        <v>16</v>
      </c>
      <c r="P21" s="278">
        <v>300</v>
      </c>
      <c r="Q21" s="95">
        <f>O21*P21</f>
        <v>4800</v>
      </c>
      <c r="R21" s="99"/>
    </row>
    <row r="22" spans="1:26" x14ac:dyDescent="0.2">
      <c r="A22" s="95" t="s">
        <v>65</v>
      </c>
      <c r="B22" s="83">
        <v>23</v>
      </c>
      <c r="C22">
        <v>36</v>
      </c>
      <c r="D22">
        <v>7</v>
      </c>
      <c r="E22" s="278">
        <v>8</v>
      </c>
      <c r="F22" s="119">
        <f>SUM(B22:E22)</f>
        <v>74</v>
      </c>
      <c r="G22" s="317">
        <v>500</v>
      </c>
      <c r="H22" s="95">
        <f>F22*G22</f>
        <v>37000</v>
      </c>
      <c r="I22" s="99"/>
      <c r="J22" s="95" t="s">
        <v>65</v>
      </c>
      <c r="K22">
        <v>19</v>
      </c>
      <c r="L22">
        <v>22</v>
      </c>
      <c r="M22">
        <v>3</v>
      </c>
      <c r="N22">
        <v>6</v>
      </c>
      <c r="O22" s="119">
        <f>SUM(K22:N22)</f>
        <v>50</v>
      </c>
      <c r="P22" s="278">
        <v>550</v>
      </c>
      <c r="Q22" s="95">
        <f>O22*P22</f>
        <v>27500</v>
      </c>
      <c r="R22" s="99"/>
    </row>
    <row r="23" spans="1:26" x14ac:dyDescent="0.2">
      <c r="A23" s="95" t="s">
        <v>66</v>
      </c>
      <c r="B23" s="83">
        <v>0</v>
      </c>
      <c r="C23">
        <v>5</v>
      </c>
      <c r="E23" s="278"/>
      <c r="F23" s="119">
        <f>SUM(B23:E23)</f>
        <v>5</v>
      </c>
      <c r="G23" s="317">
        <v>0</v>
      </c>
      <c r="H23" s="95">
        <f>F23*G23</f>
        <v>0</v>
      </c>
      <c r="I23" s="99"/>
      <c r="J23" s="95" t="s">
        <v>66</v>
      </c>
      <c r="K23">
        <v>1</v>
      </c>
      <c r="L23">
        <v>3</v>
      </c>
      <c r="O23" s="119">
        <f>SUM(K23:N23)</f>
        <v>4</v>
      </c>
      <c r="P23" s="278">
        <v>750</v>
      </c>
      <c r="Q23" s="95">
        <f>O23*P23</f>
        <v>3000</v>
      </c>
      <c r="R23" s="99"/>
    </row>
    <row r="24" spans="1:26" x14ac:dyDescent="0.2">
      <c r="A24" s="95" t="s">
        <v>67</v>
      </c>
      <c r="B24" s="83">
        <v>1</v>
      </c>
      <c r="C24">
        <v>2</v>
      </c>
      <c r="D24">
        <v>5</v>
      </c>
      <c r="E24" s="278">
        <v>4</v>
      </c>
      <c r="F24" s="119">
        <f>SUM(B24:E24)</f>
        <v>12</v>
      </c>
      <c r="G24" s="317">
        <v>1500</v>
      </c>
      <c r="H24" s="95">
        <f>F24*G24</f>
        <v>18000</v>
      </c>
      <c r="I24" s="99"/>
      <c r="J24" s="95" t="s">
        <v>67</v>
      </c>
      <c r="K24">
        <v>4</v>
      </c>
      <c r="L24">
        <v>9</v>
      </c>
      <c r="M24">
        <v>6</v>
      </c>
      <c r="N24">
        <v>1</v>
      </c>
      <c r="O24" s="119">
        <f>SUM(K24:N24)</f>
        <v>20</v>
      </c>
      <c r="P24" s="278">
        <v>1500</v>
      </c>
      <c r="Q24" s="95">
        <f>O24*P24</f>
        <v>30000</v>
      </c>
      <c r="R24" s="99"/>
    </row>
    <row r="25" spans="1:26" x14ac:dyDescent="0.2">
      <c r="A25" s="278" t="s">
        <v>558</v>
      </c>
      <c r="B25" s="83">
        <v>19</v>
      </c>
      <c r="C25">
        <v>4</v>
      </c>
      <c r="E25" s="95"/>
      <c r="F25" s="119">
        <f>SUM(B25:E25)</f>
        <v>23</v>
      </c>
      <c r="G25" s="317">
        <v>1500</v>
      </c>
      <c r="H25" s="95">
        <f>F25*G25</f>
        <v>34500</v>
      </c>
      <c r="I25" s="99"/>
      <c r="J25" s="95"/>
      <c r="O25" s="119"/>
      <c r="P25" s="278"/>
      <c r="Q25" s="95"/>
      <c r="R25" s="99"/>
    </row>
    <row r="26" spans="1:26" x14ac:dyDescent="0.2">
      <c r="A26" s="96" t="s">
        <v>5</v>
      </c>
      <c r="B26" s="96"/>
      <c r="C26" s="96"/>
      <c r="D26" s="96"/>
      <c r="E26" s="96"/>
      <c r="F26" s="120"/>
      <c r="G26" s="319"/>
      <c r="H26" s="96">
        <f>SUM(H21:H25)</f>
        <v>115500</v>
      </c>
      <c r="I26" s="100"/>
      <c r="J26" s="96" t="s">
        <v>5</v>
      </c>
      <c r="K26" s="96"/>
      <c r="L26" s="96"/>
      <c r="M26" s="96"/>
      <c r="N26" s="96"/>
      <c r="O26" s="120"/>
      <c r="P26" s="323"/>
      <c r="Q26" s="96">
        <f>SUM(Q21:Q25)</f>
        <v>65300</v>
      </c>
      <c r="R26" s="100"/>
    </row>
    <row r="27" spans="1:26" x14ac:dyDescent="0.2">
      <c r="A27" s="98"/>
      <c r="B27" s="98"/>
      <c r="C27" s="98"/>
      <c r="D27" s="98"/>
      <c r="E27" s="98"/>
      <c r="F27" s="121"/>
      <c r="G27" s="320"/>
      <c r="H27" s="98"/>
      <c r="I27" s="102"/>
      <c r="J27" s="98"/>
      <c r="K27" s="98"/>
      <c r="L27" s="98"/>
      <c r="M27" s="98"/>
      <c r="N27" s="98"/>
      <c r="O27" s="121"/>
      <c r="P27" s="324"/>
      <c r="Q27" s="98"/>
      <c r="R27" s="102"/>
    </row>
    <row r="28" spans="1:26" ht="15.75" x14ac:dyDescent="0.25">
      <c r="A28" s="94" t="s">
        <v>2</v>
      </c>
      <c r="B28" s="23"/>
      <c r="C28" s="23"/>
      <c r="D28" s="23"/>
      <c r="E28" s="23"/>
      <c r="F28" s="119"/>
      <c r="H28" s="23"/>
      <c r="I28" s="92"/>
      <c r="J28" s="23"/>
      <c r="K28" s="23"/>
      <c r="L28" s="23"/>
      <c r="M28" s="23"/>
      <c r="N28" s="23"/>
      <c r="O28" s="119"/>
      <c r="Q28" s="23"/>
      <c r="R28" s="92"/>
      <c r="T28" s="95"/>
      <c r="U28" s="95"/>
    </row>
    <row r="29" spans="1:26" x14ac:dyDescent="0.2">
      <c r="A29" s="23" t="s">
        <v>64</v>
      </c>
      <c r="B29">
        <v>670</v>
      </c>
      <c r="C29">
        <v>732</v>
      </c>
      <c r="D29">
        <v>508</v>
      </c>
      <c r="E29">
        <v>582</v>
      </c>
      <c r="F29" s="119">
        <f>SUM(B29:E29)</f>
        <v>2492</v>
      </c>
      <c r="G29" s="317">
        <v>250</v>
      </c>
      <c r="H29" s="95">
        <f>F29*G29</f>
        <v>623000</v>
      </c>
      <c r="I29" s="92"/>
      <c r="J29" s="23" t="s">
        <v>64</v>
      </c>
      <c r="K29" s="95"/>
      <c r="L29" s="95"/>
      <c r="M29" s="95"/>
      <c r="N29" s="95"/>
      <c r="O29" s="119">
        <f t="shared" ref="O29:O34" si="2">SUM(K29:N29)</f>
        <v>0</v>
      </c>
      <c r="P29" s="278"/>
      <c r="Q29" s="95">
        <f>O29*P29</f>
        <v>0</v>
      </c>
      <c r="R29" s="92"/>
      <c r="S29" s="23" t="s">
        <v>64</v>
      </c>
      <c r="T29" s="278">
        <v>2</v>
      </c>
      <c r="U29" s="278">
        <v>3</v>
      </c>
      <c r="V29" s="95"/>
      <c r="W29" s="95"/>
      <c r="X29" s="119">
        <f t="shared" ref="X29:X34" si="3">SUM(T29:W29)</f>
        <v>5</v>
      </c>
      <c r="Y29" s="302">
        <v>800</v>
      </c>
      <c r="Z29" s="95">
        <f>X29*Y29</f>
        <v>4000</v>
      </c>
    </row>
    <row r="30" spans="1:26" x14ac:dyDescent="0.2">
      <c r="A30" s="23" t="s">
        <v>65</v>
      </c>
      <c r="B30">
        <v>645</v>
      </c>
      <c r="C30">
        <v>614</v>
      </c>
      <c r="D30">
        <v>677</v>
      </c>
      <c r="E30">
        <v>485</v>
      </c>
      <c r="F30" s="119">
        <f>SUM(B30:E30)</f>
        <v>2421</v>
      </c>
      <c r="G30" s="317">
        <v>400</v>
      </c>
      <c r="H30" s="95">
        <f>F30*G30</f>
        <v>968400</v>
      </c>
      <c r="I30" s="92"/>
      <c r="J30" s="23" t="s">
        <v>65</v>
      </c>
      <c r="K30" s="95"/>
      <c r="L30" s="95"/>
      <c r="M30" s="95"/>
      <c r="N30" s="95"/>
      <c r="O30" s="119">
        <f t="shared" si="2"/>
        <v>0</v>
      </c>
      <c r="P30" s="278"/>
      <c r="Q30" s="95">
        <f>O30*P30</f>
        <v>0</v>
      </c>
      <c r="R30" s="92"/>
      <c r="S30" s="23" t="s">
        <v>65</v>
      </c>
      <c r="T30" s="278">
        <v>0</v>
      </c>
      <c r="U30" s="278"/>
      <c r="V30" s="95"/>
      <c r="W30" s="95"/>
      <c r="X30" s="119">
        <f t="shared" si="3"/>
        <v>0</v>
      </c>
      <c r="Y30" s="302">
        <v>800</v>
      </c>
      <c r="Z30" s="95">
        <f>X30*Y30</f>
        <v>0</v>
      </c>
    </row>
    <row r="31" spans="1:26" x14ac:dyDescent="0.2">
      <c r="A31" s="23" t="s">
        <v>66</v>
      </c>
      <c r="B31">
        <v>314</v>
      </c>
      <c r="C31">
        <v>330</v>
      </c>
      <c r="D31">
        <v>332</v>
      </c>
      <c r="E31">
        <v>488</v>
      </c>
      <c r="F31" s="119">
        <f>SUM(B31:E31)</f>
        <v>1464</v>
      </c>
      <c r="G31" s="317">
        <v>750</v>
      </c>
      <c r="H31" s="95">
        <f>F31*G31</f>
        <v>1098000</v>
      </c>
      <c r="I31" s="92"/>
      <c r="J31" s="23" t="s">
        <v>66</v>
      </c>
      <c r="K31" s="95"/>
      <c r="L31" s="95"/>
      <c r="M31" s="95"/>
      <c r="N31" s="95"/>
      <c r="O31" s="119">
        <f t="shared" si="2"/>
        <v>0</v>
      </c>
      <c r="P31" s="278"/>
      <c r="Q31" s="95">
        <f>O31*P31</f>
        <v>0</v>
      </c>
      <c r="R31" s="92"/>
      <c r="S31" s="23" t="s">
        <v>66</v>
      </c>
      <c r="T31" s="278">
        <v>0</v>
      </c>
      <c r="U31" s="278">
        <v>2</v>
      </c>
      <c r="V31" s="95">
        <v>1</v>
      </c>
      <c r="W31" s="95"/>
      <c r="X31" s="119">
        <f t="shared" si="3"/>
        <v>3</v>
      </c>
      <c r="Y31" s="302">
        <v>800</v>
      </c>
      <c r="Z31" s="95">
        <f>X31*Y31</f>
        <v>2400</v>
      </c>
    </row>
    <row r="32" spans="1:26" x14ac:dyDescent="0.2">
      <c r="A32" s="23" t="s">
        <v>67</v>
      </c>
      <c r="B32">
        <v>12</v>
      </c>
      <c r="C32">
        <v>3</v>
      </c>
      <c r="D32">
        <v>11</v>
      </c>
      <c r="E32">
        <v>11</v>
      </c>
      <c r="F32" s="119">
        <f>SUM(B32:E32)</f>
        <v>37</v>
      </c>
      <c r="G32" s="317">
        <v>1750</v>
      </c>
      <c r="H32" s="95">
        <f>F32*G32</f>
        <v>64750</v>
      </c>
      <c r="I32" s="92"/>
      <c r="J32" s="23" t="s">
        <v>67</v>
      </c>
      <c r="K32" s="95"/>
      <c r="L32" s="95"/>
      <c r="M32" s="95"/>
      <c r="N32" s="95"/>
      <c r="O32" s="119">
        <f t="shared" si="2"/>
        <v>0</v>
      </c>
      <c r="P32" s="278"/>
      <c r="Q32" s="95">
        <f>O32*P32</f>
        <v>0</v>
      </c>
      <c r="R32" s="92"/>
      <c r="S32" s="23" t="s">
        <v>67</v>
      </c>
      <c r="T32" s="278">
        <v>0</v>
      </c>
      <c r="U32" s="278">
        <v>2</v>
      </c>
      <c r="V32" s="95"/>
      <c r="W32" s="95">
        <v>1</v>
      </c>
      <c r="X32" s="119">
        <f t="shared" si="3"/>
        <v>3</v>
      </c>
      <c r="Y32" s="302">
        <v>800</v>
      </c>
      <c r="Z32" s="95">
        <f>X32*Y32</f>
        <v>2400</v>
      </c>
    </row>
    <row r="33" spans="1:26" x14ac:dyDescent="0.2">
      <c r="A33" s="278" t="s">
        <v>558</v>
      </c>
      <c r="B33">
        <v>491</v>
      </c>
      <c r="C33">
        <v>530</v>
      </c>
      <c r="D33">
        <v>661</v>
      </c>
      <c r="E33">
        <v>685</v>
      </c>
      <c r="F33" s="119">
        <f>SUM(B33:E33)</f>
        <v>2367</v>
      </c>
      <c r="G33" s="317">
        <v>916</v>
      </c>
      <c r="H33" s="95">
        <f>F33*G33</f>
        <v>2168172</v>
      </c>
      <c r="I33" s="92"/>
      <c r="J33" s="23"/>
      <c r="K33" s="95"/>
      <c r="L33" s="95"/>
      <c r="M33" s="95"/>
      <c r="N33" s="95"/>
      <c r="O33" s="119"/>
      <c r="P33" s="278"/>
      <c r="Q33" s="95"/>
      <c r="R33" s="92"/>
      <c r="S33" s="23" t="s">
        <v>68</v>
      </c>
      <c r="T33" s="278">
        <v>0</v>
      </c>
      <c r="U33" s="278">
        <v>3</v>
      </c>
      <c r="V33" s="95"/>
      <c r="W33" s="95"/>
      <c r="X33" s="119">
        <f t="shared" si="3"/>
        <v>3</v>
      </c>
      <c r="Y33" s="302">
        <v>15000</v>
      </c>
      <c r="Z33" s="95">
        <f>X33*Y33</f>
        <v>45000</v>
      </c>
    </row>
    <row r="34" spans="1:26" x14ac:dyDescent="0.2">
      <c r="A34" s="30" t="s">
        <v>5</v>
      </c>
      <c r="B34" s="96"/>
      <c r="C34" s="96"/>
      <c r="D34" s="96"/>
      <c r="E34" s="96"/>
      <c r="F34" s="120"/>
      <c r="G34" s="319"/>
      <c r="H34" s="96">
        <f>SUM(H29:H33)</f>
        <v>4922322</v>
      </c>
      <c r="I34" s="92"/>
      <c r="J34" s="30" t="s">
        <v>5</v>
      </c>
      <c r="K34" s="96"/>
      <c r="L34" s="96"/>
      <c r="M34" s="96"/>
      <c r="N34" s="96"/>
      <c r="O34" s="120">
        <f t="shared" si="2"/>
        <v>0</v>
      </c>
      <c r="P34" s="323"/>
      <c r="Q34" s="96">
        <f>SUM(Q29:Q33)</f>
        <v>0</v>
      </c>
      <c r="R34" s="92"/>
      <c r="S34" s="30" t="s">
        <v>5</v>
      </c>
      <c r="T34" s="96"/>
      <c r="U34" s="96"/>
      <c r="V34" s="96"/>
      <c r="W34" s="96"/>
      <c r="X34" s="120">
        <f t="shared" si="3"/>
        <v>0</v>
      </c>
      <c r="Y34" s="96"/>
      <c r="Z34" s="96">
        <f>SUM(Z29:Z33)</f>
        <v>53800</v>
      </c>
    </row>
    <row r="35" spans="1:26" x14ac:dyDescent="0.2">
      <c r="A35" s="89"/>
      <c r="B35" s="98"/>
      <c r="C35" s="98"/>
      <c r="D35" s="98"/>
      <c r="E35" s="98"/>
      <c r="F35" s="121"/>
      <c r="G35" s="320"/>
      <c r="H35" s="98"/>
      <c r="I35" s="92"/>
      <c r="J35" s="89"/>
      <c r="K35" s="98"/>
      <c r="L35" s="98"/>
      <c r="M35" s="98"/>
      <c r="N35" s="98"/>
      <c r="O35" s="121"/>
      <c r="P35" s="324"/>
      <c r="Q35" s="98"/>
      <c r="R35" s="92"/>
      <c r="S35" s="219"/>
      <c r="X35" s="150"/>
    </row>
    <row r="36" spans="1:26" ht="15.75" x14ac:dyDescent="0.25">
      <c r="A36" s="101" t="s">
        <v>3</v>
      </c>
      <c r="B36" s="95"/>
      <c r="C36" s="95"/>
      <c r="D36" s="95"/>
      <c r="E36" s="95"/>
      <c r="F36" s="121"/>
      <c r="G36" s="317"/>
      <c r="H36" s="95"/>
      <c r="I36" s="99"/>
      <c r="J36" s="95"/>
      <c r="K36" s="95"/>
      <c r="L36" s="95"/>
      <c r="M36" s="95"/>
      <c r="N36" s="95"/>
      <c r="O36" s="121"/>
      <c r="P36" s="278"/>
      <c r="Q36" s="95"/>
      <c r="R36" s="99"/>
    </row>
    <row r="37" spans="1:26" x14ac:dyDescent="0.2">
      <c r="A37" s="95" t="s">
        <v>64</v>
      </c>
      <c r="B37">
        <v>1741</v>
      </c>
      <c r="C37">
        <v>1872</v>
      </c>
      <c r="D37" s="340">
        <v>2624</v>
      </c>
      <c r="E37" s="278">
        <v>2518</v>
      </c>
      <c r="F37" s="119">
        <f>SUM(B37:E37)</f>
        <v>8755</v>
      </c>
      <c r="G37" s="317">
        <v>500</v>
      </c>
      <c r="H37" s="95">
        <f>F37*G37</f>
        <v>4377500</v>
      </c>
      <c r="I37" s="99"/>
      <c r="J37" s="95" t="s">
        <v>64</v>
      </c>
      <c r="K37" s="95"/>
      <c r="L37" s="95"/>
      <c r="M37" s="95"/>
      <c r="N37" s="95"/>
      <c r="O37" s="119">
        <f t="shared" ref="O37:O41" si="4">SUM(K37:N37)</f>
        <v>0</v>
      </c>
      <c r="P37" s="278"/>
      <c r="Q37" s="95">
        <f>O37*P37</f>
        <v>0</v>
      </c>
      <c r="R37" s="99"/>
    </row>
    <row r="38" spans="1:26" x14ac:dyDescent="0.2">
      <c r="A38" s="95" t="s">
        <v>65</v>
      </c>
      <c r="E38" s="95"/>
      <c r="F38" s="119">
        <f>SUM(B38:E38)</f>
        <v>0</v>
      </c>
      <c r="G38" s="317">
        <v>0</v>
      </c>
      <c r="H38" s="95">
        <f>F38*G38</f>
        <v>0</v>
      </c>
      <c r="I38" s="99"/>
      <c r="J38" s="95" t="s">
        <v>65</v>
      </c>
      <c r="K38" s="95"/>
      <c r="L38" s="95"/>
      <c r="M38" s="95"/>
      <c r="N38" s="95"/>
      <c r="O38" s="119">
        <f t="shared" si="4"/>
        <v>0</v>
      </c>
      <c r="P38" s="278"/>
      <c r="Q38" s="95">
        <f>O38*P38</f>
        <v>0</v>
      </c>
      <c r="R38" s="99"/>
    </row>
    <row r="39" spans="1:26" x14ac:dyDescent="0.2">
      <c r="A39" s="95" t="s">
        <v>66</v>
      </c>
      <c r="E39" s="95"/>
      <c r="F39" s="119">
        <f>SUM(B39:E39)</f>
        <v>0</v>
      </c>
      <c r="G39" s="317">
        <v>0</v>
      </c>
      <c r="H39" s="95">
        <f>F39*G39</f>
        <v>0</v>
      </c>
      <c r="I39" s="99"/>
      <c r="J39" s="95" t="s">
        <v>66</v>
      </c>
      <c r="K39" s="95"/>
      <c r="L39" s="95"/>
      <c r="M39" s="95"/>
      <c r="N39" s="95"/>
      <c r="O39" s="119">
        <f t="shared" si="4"/>
        <v>0</v>
      </c>
      <c r="P39" s="278"/>
      <c r="Q39" s="95">
        <f>O39*P39</f>
        <v>0</v>
      </c>
      <c r="R39" s="99"/>
    </row>
    <row r="40" spans="1:26" x14ac:dyDescent="0.2">
      <c r="A40" s="95" t="s">
        <v>67</v>
      </c>
      <c r="E40" s="95"/>
      <c r="F40" s="119">
        <f>SUM(B40:E40)</f>
        <v>0</v>
      </c>
      <c r="G40" s="317">
        <v>0</v>
      </c>
      <c r="H40" s="95">
        <f>F40*G40</f>
        <v>0</v>
      </c>
      <c r="I40" s="99"/>
      <c r="J40" s="95" t="s">
        <v>67</v>
      </c>
      <c r="K40" s="95"/>
      <c r="L40" s="95"/>
      <c r="M40" s="95"/>
      <c r="N40" s="95"/>
      <c r="O40" s="119">
        <f t="shared" si="4"/>
        <v>0</v>
      </c>
      <c r="P40" s="278"/>
      <c r="Q40" s="95">
        <f>O40*P40</f>
        <v>0</v>
      </c>
      <c r="R40" s="99"/>
    </row>
    <row r="41" spans="1:26" x14ac:dyDescent="0.2">
      <c r="A41" s="96" t="s">
        <v>5</v>
      </c>
      <c r="B41" s="96"/>
      <c r="C41" s="96"/>
      <c r="D41" s="96"/>
      <c r="E41" s="96"/>
      <c r="F41" s="120"/>
      <c r="G41" s="319"/>
      <c r="H41" s="96">
        <f>SUM(H37:H40)</f>
        <v>4377500</v>
      </c>
      <c r="I41" s="100"/>
      <c r="J41" s="96" t="s">
        <v>5</v>
      </c>
      <c r="K41" s="96"/>
      <c r="L41" s="96"/>
      <c r="M41" s="96"/>
      <c r="N41" s="96"/>
      <c r="O41" s="120">
        <f t="shared" si="4"/>
        <v>0</v>
      </c>
      <c r="P41" s="323"/>
      <c r="Q41" s="96">
        <f>SUM(Q37:Q40)</f>
        <v>0</v>
      </c>
      <c r="R41" s="100"/>
    </row>
    <row r="42" spans="1:26" x14ac:dyDescent="0.2">
      <c r="A42" s="23"/>
      <c r="B42" s="23"/>
      <c r="C42" s="23"/>
      <c r="D42" s="23"/>
      <c r="E42" s="23"/>
      <c r="F42" s="119"/>
      <c r="H42" s="23"/>
      <c r="I42" s="92"/>
      <c r="J42" s="23"/>
      <c r="K42" s="23"/>
      <c r="L42" s="23"/>
      <c r="M42" s="23"/>
      <c r="N42" s="23"/>
      <c r="O42" s="119"/>
      <c r="Q42" s="23"/>
      <c r="R42" s="92"/>
    </row>
    <row r="43" spans="1:26" ht="15.75" x14ac:dyDescent="0.25">
      <c r="A43" s="94" t="s">
        <v>95</v>
      </c>
      <c r="B43" s="23"/>
      <c r="C43" s="23"/>
      <c r="D43" s="23"/>
      <c r="E43" s="23"/>
      <c r="F43" s="119"/>
      <c r="H43" s="23"/>
      <c r="I43" s="92"/>
      <c r="J43" s="23"/>
      <c r="K43" s="23"/>
      <c r="L43" s="23"/>
      <c r="M43" s="23"/>
      <c r="N43" s="23"/>
      <c r="O43" s="119"/>
      <c r="Q43" s="23"/>
      <c r="R43" s="92"/>
    </row>
    <row r="44" spans="1:26" x14ac:dyDescent="0.2">
      <c r="A44" s="23" t="s">
        <v>64</v>
      </c>
      <c r="B44" s="200">
        <v>376</v>
      </c>
      <c r="C44">
        <v>677</v>
      </c>
      <c r="D44">
        <v>501</v>
      </c>
      <c r="E44">
        <v>767</v>
      </c>
      <c r="F44" s="119">
        <f>SUM(B44:E44)</f>
        <v>2321</v>
      </c>
      <c r="G44" s="317">
        <v>350</v>
      </c>
      <c r="H44" s="95">
        <f>F44*G44</f>
        <v>812350</v>
      </c>
      <c r="I44" s="99"/>
      <c r="J44" s="95" t="s">
        <v>64</v>
      </c>
      <c r="K44" s="95"/>
      <c r="L44" s="95"/>
      <c r="M44" s="95"/>
      <c r="N44" s="95"/>
      <c r="O44" s="119">
        <f t="shared" ref="O44:O48" si="5">SUM(K44:N44)</f>
        <v>0</v>
      </c>
      <c r="P44" s="278">
        <v>350</v>
      </c>
      <c r="Q44" s="95">
        <f>O44*P44</f>
        <v>0</v>
      </c>
      <c r="R44" s="99"/>
    </row>
    <row r="45" spans="1:26" x14ac:dyDescent="0.2">
      <c r="A45" s="23" t="s">
        <v>65</v>
      </c>
      <c r="B45" s="200">
        <v>412</v>
      </c>
      <c r="C45">
        <v>346</v>
      </c>
      <c r="D45">
        <v>367</v>
      </c>
      <c r="E45">
        <v>402</v>
      </c>
      <c r="F45" s="119">
        <f>SUM(B45:E45)</f>
        <v>1527</v>
      </c>
      <c r="G45" s="317">
        <v>600</v>
      </c>
      <c r="H45" s="95">
        <f>F45*G45</f>
        <v>916200</v>
      </c>
      <c r="I45" s="99"/>
      <c r="J45" s="95" t="s">
        <v>65</v>
      </c>
      <c r="K45" s="95"/>
      <c r="L45" s="95"/>
      <c r="M45" s="95"/>
      <c r="N45" s="95"/>
      <c r="O45" s="119">
        <f t="shared" si="5"/>
        <v>0</v>
      </c>
      <c r="P45" s="278">
        <v>600</v>
      </c>
      <c r="Q45" s="95">
        <f>O45*P45</f>
        <v>0</v>
      </c>
      <c r="R45" s="99"/>
    </row>
    <row r="46" spans="1:26" x14ac:dyDescent="0.2">
      <c r="A46" s="23" t="s">
        <v>66</v>
      </c>
      <c r="B46" s="200">
        <v>244</v>
      </c>
      <c r="C46">
        <v>299</v>
      </c>
      <c r="D46">
        <v>314</v>
      </c>
      <c r="E46">
        <v>309</v>
      </c>
      <c r="F46" s="119">
        <f>SUM(B46:E46)</f>
        <v>1166</v>
      </c>
      <c r="G46" s="317">
        <v>2000</v>
      </c>
      <c r="H46" s="95">
        <f>F46*G46</f>
        <v>2332000</v>
      </c>
      <c r="I46" s="99"/>
      <c r="J46" s="95" t="s">
        <v>66</v>
      </c>
      <c r="K46" s="95"/>
      <c r="L46" s="95"/>
      <c r="M46" s="95"/>
      <c r="N46" s="95"/>
      <c r="O46" s="119">
        <f t="shared" si="5"/>
        <v>0</v>
      </c>
      <c r="P46" s="278">
        <v>2000</v>
      </c>
      <c r="Q46" s="95">
        <f>O46*P46</f>
        <v>0</v>
      </c>
      <c r="R46" s="99"/>
    </row>
    <row r="47" spans="1:26" x14ac:dyDescent="0.2">
      <c r="A47" s="23" t="s">
        <v>67</v>
      </c>
      <c r="B47" s="200">
        <v>302</v>
      </c>
      <c r="C47">
        <v>307</v>
      </c>
      <c r="D47">
        <v>265</v>
      </c>
      <c r="E47">
        <v>275</v>
      </c>
      <c r="F47" s="119">
        <f>SUM(B47:E47)</f>
        <v>1149</v>
      </c>
      <c r="G47" s="317">
        <v>2500</v>
      </c>
      <c r="H47" s="95">
        <f>F47*G47</f>
        <v>2872500</v>
      </c>
      <c r="I47" s="99"/>
      <c r="J47" s="95" t="s">
        <v>67</v>
      </c>
      <c r="K47" s="95"/>
      <c r="L47" s="95"/>
      <c r="M47" s="95"/>
      <c r="N47" s="95"/>
      <c r="O47" s="119">
        <f t="shared" si="5"/>
        <v>0</v>
      </c>
      <c r="P47" s="278">
        <v>2500</v>
      </c>
      <c r="Q47" s="95">
        <f>O47*P47</f>
        <v>0</v>
      </c>
      <c r="R47" s="99"/>
    </row>
    <row r="48" spans="1:26" x14ac:dyDescent="0.2">
      <c r="A48" s="30" t="s">
        <v>5</v>
      </c>
      <c r="B48" s="96"/>
      <c r="C48" s="96"/>
      <c r="D48" s="96"/>
      <c r="E48" s="96"/>
      <c r="F48" s="120"/>
      <c r="G48" s="319"/>
      <c r="H48" s="96">
        <f>SUM(H44:H47)</f>
        <v>6933050</v>
      </c>
      <c r="I48" s="100"/>
      <c r="J48" s="96" t="s">
        <v>5</v>
      </c>
      <c r="K48" s="96"/>
      <c r="L48" s="96"/>
      <c r="M48" s="96"/>
      <c r="N48" s="96"/>
      <c r="O48" s="120">
        <f t="shared" si="5"/>
        <v>0</v>
      </c>
      <c r="P48" s="323"/>
      <c r="Q48" s="96">
        <f>SUM(Q44:Q47)</f>
        <v>0</v>
      </c>
      <c r="R48" s="100"/>
    </row>
    <row r="49" spans="1:18" x14ac:dyDescent="0.2">
      <c r="A49" s="23"/>
      <c r="B49" s="95"/>
      <c r="C49" s="95"/>
      <c r="D49" s="95"/>
      <c r="E49" s="95"/>
      <c r="F49" s="121"/>
      <c r="G49" s="317"/>
      <c r="H49" s="95"/>
      <c r="I49" s="92"/>
      <c r="J49" s="23"/>
      <c r="K49" s="95"/>
      <c r="L49" s="95"/>
      <c r="M49" s="95"/>
      <c r="N49" s="95"/>
      <c r="O49" s="121"/>
      <c r="P49" s="278"/>
      <c r="Q49" s="95"/>
      <c r="R49" s="92"/>
    </row>
    <row r="50" spans="1:18" ht="15.75" x14ac:dyDescent="0.25">
      <c r="A50" s="101" t="s">
        <v>131</v>
      </c>
      <c r="B50" s="95"/>
      <c r="C50" s="95"/>
      <c r="D50" s="95"/>
      <c r="E50" s="95"/>
      <c r="F50" s="121"/>
      <c r="G50" s="317"/>
      <c r="H50" s="95"/>
      <c r="I50" s="99"/>
      <c r="J50" s="95"/>
      <c r="K50" s="95"/>
      <c r="L50" s="95"/>
      <c r="M50" s="95"/>
      <c r="N50" s="95"/>
      <c r="O50" s="121"/>
      <c r="P50" s="278"/>
      <c r="Q50" s="95"/>
      <c r="R50" s="99"/>
    </row>
    <row r="51" spans="1:18" x14ac:dyDescent="0.2">
      <c r="A51" s="95" t="s">
        <v>64</v>
      </c>
      <c r="B51">
        <v>195</v>
      </c>
      <c r="C51">
        <v>219</v>
      </c>
      <c r="D51">
        <v>224</v>
      </c>
      <c r="E51">
        <v>298</v>
      </c>
      <c r="F51" s="119">
        <f>SUM(B51:E51)</f>
        <v>936</v>
      </c>
      <c r="G51" s="317">
        <v>50</v>
      </c>
      <c r="H51" s="95">
        <f>F51*G51</f>
        <v>46800</v>
      </c>
      <c r="I51" s="99"/>
      <c r="J51" s="95" t="s">
        <v>64</v>
      </c>
      <c r="O51" s="119">
        <f>SUM(K51:N51)</f>
        <v>0</v>
      </c>
      <c r="P51" s="278"/>
      <c r="Q51" s="95">
        <f>O51*P51</f>
        <v>0</v>
      </c>
      <c r="R51" s="99"/>
    </row>
    <row r="52" spans="1:18" x14ac:dyDescent="0.2">
      <c r="A52" s="95" t="s">
        <v>65</v>
      </c>
      <c r="B52">
        <v>162</v>
      </c>
      <c r="C52">
        <v>182</v>
      </c>
      <c r="D52">
        <v>187</v>
      </c>
      <c r="E52">
        <v>189</v>
      </c>
      <c r="F52" s="119">
        <f>SUM(B52:E52)</f>
        <v>720</v>
      </c>
      <c r="G52" s="317">
        <v>100</v>
      </c>
      <c r="H52" s="95">
        <f>F52*G52</f>
        <v>72000</v>
      </c>
      <c r="I52" s="99"/>
      <c r="J52" s="95" t="s">
        <v>65</v>
      </c>
      <c r="O52" s="119">
        <f>SUM(K52:N52)</f>
        <v>0</v>
      </c>
      <c r="P52" s="278"/>
      <c r="Q52" s="95">
        <f>O52*P52</f>
        <v>0</v>
      </c>
      <c r="R52" s="99"/>
    </row>
    <row r="53" spans="1:18" x14ac:dyDescent="0.2">
      <c r="A53" s="95" t="s">
        <v>66</v>
      </c>
      <c r="B53">
        <v>76</v>
      </c>
      <c r="C53">
        <v>83</v>
      </c>
      <c r="D53">
        <v>94</v>
      </c>
      <c r="E53" s="278">
        <v>84</v>
      </c>
      <c r="F53" s="119">
        <f>SUM(B53:E53)</f>
        <v>337</v>
      </c>
      <c r="G53" s="317">
        <v>250</v>
      </c>
      <c r="H53" s="95">
        <f>F53*G53</f>
        <v>84250</v>
      </c>
      <c r="I53" s="99"/>
      <c r="J53" s="95" t="s">
        <v>66</v>
      </c>
      <c r="K53" s="95"/>
      <c r="L53" s="95"/>
      <c r="M53" s="95"/>
      <c r="N53" s="95"/>
      <c r="O53" s="119">
        <f>SUM(K53:N53)</f>
        <v>0</v>
      </c>
      <c r="P53" s="278"/>
      <c r="Q53" s="95">
        <f>O53*P53</f>
        <v>0</v>
      </c>
      <c r="R53" s="99"/>
    </row>
    <row r="54" spans="1:18" x14ac:dyDescent="0.2">
      <c r="A54" s="95" t="s">
        <v>67</v>
      </c>
      <c r="B54">
        <v>137</v>
      </c>
      <c r="C54">
        <v>174</v>
      </c>
      <c r="D54">
        <v>315</v>
      </c>
      <c r="E54" s="278">
        <v>290</v>
      </c>
      <c r="F54" s="119">
        <f>SUM(B54:E54)</f>
        <v>916</v>
      </c>
      <c r="G54" s="317">
        <v>2000</v>
      </c>
      <c r="H54" s="95">
        <f>F54*G54</f>
        <v>1832000</v>
      </c>
      <c r="I54" s="99"/>
      <c r="J54" s="95" t="s">
        <v>67</v>
      </c>
      <c r="K54" s="95"/>
      <c r="L54" s="95"/>
      <c r="M54" s="95"/>
      <c r="N54" s="95"/>
      <c r="O54" s="119">
        <f>SUM(K54:N54)</f>
        <v>0</v>
      </c>
      <c r="P54" s="278"/>
      <c r="Q54" s="95">
        <f>O54*P54</f>
        <v>0</v>
      </c>
      <c r="R54" s="99"/>
    </row>
    <row r="55" spans="1:18" x14ac:dyDescent="0.2">
      <c r="A55" s="96" t="s">
        <v>5</v>
      </c>
      <c r="B55" s="96"/>
      <c r="C55" s="96"/>
      <c r="D55" s="96"/>
      <c r="E55" s="96"/>
      <c r="F55" s="120"/>
      <c r="G55" s="319"/>
      <c r="H55" s="96">
        <f>SUM(H51:H54)</f>
        <v>2035050</v>
      </c>
      <c r="I55" s="100"/>
      <c r="J55" s="96" t="s">
        <v>5</v>
      </c>
      <c r="K55" s="96"/>
      <c r="L55" s="96"/>
      <c r="M55" s="96"/>
      <c r="N55" s="96"/>
      <c r="O55" s="120"/>
      <c r="P55" s="323"/>
      <c r="Q55" s="96">
        <f>SUM(Q51:Q54)</f>
        <v>0</v>
      </c>
      <c r="R55" s="100"/>
    </row>
    <row r="56" spans="1:18" x14ac:dyDescent="0.2">
      <c r="A56" s="98"/>
      <c r="B56" s="98"/>
      <c r="C56" s="98"/>
      <c r="D56" s="98"/>
      <c r="E56" s="98"/>
      <c r="F56" s="121"/>
      <c r="G56" s="320"/>
      <c r="H56" s="98"/>
      <c r="I56" s="102"/>
      <c r="J56" s="98"/>
      <c r="K56" s="98"/>
      <c r="L56" s="98"/>
      <c r="M56" s="98"/>
      <c r="N56" s="98"/>
      <c r="O56" s="121"/>
      <c r="P56" s="324"/>
      <c r="Q56" s="98"/>
      <c r="R56" s="102"/>
    </row>
    <row r="57" spans="1:18" ht="15.75" x14ac:dyDescent="0.25">
      <c r="A57" s="101" t="s">
        <v>4</v>
      </c>
      <c r="B57" s="95"/>
      <c r="C57" s="95"/>
      <c r="D57" s="95"/>
      <c r="E57" s="95"/>
      <c r="F57" s="121"/>
      <c r="G57" s="317"/>
      <c r="H57" s="95"/>
      <c r="I57" s="99"/>
      <c r="J57" s="95"/>
      <c r="K57" s="95"/>
      <c r="L57" s="95"/>
      <c r="M57" s="95"/>
      <c r="N57" s="95"/>
      <c r="O57" s="121"/>
      <c r="P57" s="278"/>
      <c r="Q57" s="95"/>
      <c r="R57" s="99"/>
    </row>
    <row r="58" spans="1:18" x14ac:dyDescent="0.2">
      <c r="A58" s="95" t="s">
        <v>64</v>
      </c>
      <c r="B58">
        <v>82</v>
      </c>
      <c r="C58">
        <v>112</v>
      </c>
      <c r="D58">
        <v>84</v>
      </c>
      <c r="E58">
        <v>94</v>
      </c>
      <c r="F58" s="119">
        <f>SUM(B58:E58)</f>
        <v>372</v>
      </c>
      <c r="G58" s="317">
        <v>100</v>
      </c>
      <c r="H58" s="95">
        <f>F58*G58</f>
        <v>37200</v>
      </c>
      <c r="I58" s="99"/>
      <c r="J58" s="95" t="s">
        <v>64</v>
      </c>
      <c r="K58" s="95"/>
      <c r="L58" s="95"/>
      <c r="M58" s="95"/>
      <c r="N58" s="95"/>
      <c r="O58" s="119">
        <f t="shared" ref="O58:O63" si="6">SUM(K58:N58)</f>
        <v>0</v>
      </c>
      <c r="P58" s="278"/>
      <c r="Q58" s="95">
        <f>O58*P58</f>
        <v>0</v>
      </c>
      <c r="R58" s="99"/>
    </row>
    <row r="59" spans="1:18" x14ac:dyDescent="0.2">
      <c r="A59" s="95" t="s">
        <v>65</v>
      </c>
      <c r="B59">
        <v>141</v>
      </c>
      <c r="C59">
        <v>157</v>
      </c>
      <c r="D59">
        <v>130</v>
      </c>
      <c r="E59">
        <v>119</v>
      </c>
      <c r="F59" s="119">
        <f>SUM(B59:E59)</f>
        <v>547</v>
      </c>
      <c r="G59" s="317">
        <v>1200</v>
      </c>
      <c r="H59" s="95">
        <f>F59*G59</f>
        <v>656400</v>
      </c>
      <c r="I59" s="99"/>
      <c r="J59" s="95" t="s">
        <v>65</v>
      </c>
      <c r="K59" s="95"/>
      <c r="L59" s="95"/>
      <c r="M59" s="95"/>
      <c r="N59" s="95"/>
      <c r="O59" s="119">
        <f t="shared" si="6"/>
        <v>0</v>
      </c>
      <c r="P59" s="278"/>
      <c r="Q59" s="95">
        <f>O59*P59</f>
        <v>0</v>
      </c>
      <c r="R59" s="99"/>
    </row>
    <row r="60" spans="1:18" x14ac:dyDescent="0.2">
      <c r="A60" s="95" t="s">
        <v>66</v>
      </c>
      <c r="B60">
        <v>155</v>
      </c>
      <c r="C60">
        <v>129</v>
      </c>
      <c r="D60">
        <v>104</v>
      </c>
      <c r="E60">
        <v>123</v>
      </c>
      <c r="F60" s="119">
        <f>SUM(B60:E60)</f>
        <v>511</v>
      </c>
      <c r="G60" s="317">
        <v>1100</v>
      </c>
      <c r="H60" s="95">
        <f>F60*G60</f>
        <v>562100</v>
      </c>
      <c r="I60" s="99"/>
      <c r="J60" s="95" t="s">
        <v>66</v>
      </c>
      <c r="K60" s="95"/>
      <c r="L60" s="95"/>
      <c r="M60" s="95"/>
      <c r="N60" s="95"/>
      <c r="O60" s="119">
        <f t="shared" si="6"/>
        <v>0</v>
      </c>
      <c r="P60" s="278"/>
      <c r="Q60" s="95">
        <f>O60*P60</f>
        <v>0</v>
      </c>
      <c r="R60" s="99"/>
    </row>
    <row r="61" spans="1:18" x14ac:dyDescent="0.2">
      <c r="A61" s="95" t="s">
        <v>67</v>
      </c>
      <c r="E61">
        <v>1</v>
      </c>
      <c r="F61" s="119">
        <f>SUM(B61:E61)</f>
        <v>1</v>
      </c>
      <c r="G61" s="317">
        <v>1000</v>
      </c>
      <c r="H61" s="95">
        <f>F61*G61</f>
        <v>1000</v>
      </c>
      <c r="I61" s="99"/>
      <c r="J61" s="95" t="s">
        <v>67</v>
      </c>
      <c r="K61" s="95"/>
      <c r="L61" s="95"/>
      <c r="M61" s="95"/>
      <c r="N61" s="95"/>
      <c r="O61" s="119">
        <f t="shared" si="6"/>
        <v>0</v>
      </c>
      <c r="P61" s="278"/>
      <c r="Q61" s="95">
        <f>O61*P61</f>
        <v>0</v>
      </c>
      <c r="R61" s="99"/>
    </row>
    <row r="62" spans="1:18" x14ac:dyDescent="0.2">
      <c r="A62" s="278" t="s">
        <v>558</v>
      </c>
      <c r="B62">
        <v>6</v>
      </c>
      <c r="C62">
        <v>9</v>
      </c>
      <c r="D62">
        <v>9</v>
      </c>
      <c r="E62">
        <v>5</v>
      </c>
      <c r="F62" s="119">
        <f>SUM(B62:E62)</f>
        <v>29</v>
      </c>
      <c r="G62" s="317"/>
      <c r="H62" s="95">
        <f>F62*G62</f>
        <v>0</v>
      </c>
      <c r="I62" s="99"/>
      <c r="J62" s="95"/>
      <c r="K62" s="95"/>
      <c r="L62" s="95"/>
      <c r="M62" s="95"/>
      <c r="N62" s="95"/>
      <c r="O62" s="119"/>
      <c r="P62" s="278"/>
      <c r="Q62" s="95"/>
      <c r="R62" s="99"/>
    </row>
    <row r="63" spans="1:18" x14ac:dyDescent="0.2">
      <c r="A63" s="96" t="s">
        <v>5</v>
      </c>
      <c r="B63" s="96"/>
      <c r="C63" s="96"/>
      <c r="D63" s="96"/>
      <c r="E63" s="96"/>
      <c r="F63" s="120"/>
      <c r="G63" s="319"/>
      <c r="H63" s="96">
        <f>SUM(H58:H62)</f>
        <v>1256700</v>
      </c>
      <c r="I63" s="100"/>
      <c r="J63" s="96" t="s">
        <v>5</v>
      </c>
      <c r="K63" s="96"/>
      <c r="L63" s="96"/>
      <c r="M63" s="96"/>
      <c r="N63" s="96"/>
      <c r="O63" s="120">
        <f t="shared" si="6"/>
        <v>0</v>
      </c>
      <c r="P63" s="323"/>
      <c r="Q63" s="96">
        <f>SUM(Q58:Q61)</f>
        <v>0</v>
      </c>
      <c r="R63" s="100"/>
    </row>
    <row r="64" spans="1:18" x14ac:dyDescent="0.2">
      <c r="A64" s="98"/>
      <c r="B64" s="98"/>
      <c r="C64" s="98"/>
      <c r="D64" s="98"/>
      <c r="E64" s="98"/>
      <c r="F64" s="119"/>
      <c r="G64" s="320"/>
      <c r="H64" s="98"/>
      <c r="I64" s="102"/>
      <c r="J64" s="98"/>
      <c r="K64" s="98"/>
      <c r="L64" s="98"/>
      <c r="M64" s="98"/>
      <c r="N64" s="98"/>
      <c r="O64" s="119"/>
      <c r="P64" s="324"/>
      <c r="Q64" s="98"/>
      <c r="R64" s="102"/>
    </row>
    <row r="65" spans="1:27" ht="15.75" x14ac:dyDescent="0.25">
      <c r="A65" s="101" t="s">
        <v>96</v>
      </c>
      <c r="B65" s="95"/>
      <c r="C65" s="95"/>
      <c r="D65" s="95"/>
      <c r="E65" s="95"/>
      <c r="F65" s="121"/>
      <c r="G65" s="317"/>
      <c r="H65" s="95"/>
      <c r="I65" s="99"/>
      <c r="J65" s="95"/>
      <c r="K65" s="95"/>
      <c r="L65" s="95"/>
      <c r="M65" s="95"/>
      <c r="N65" s="95"/>
      <c r="O65" s="121"/>
      <c r="P65" s="278"/>
      <c r="Q65" s="95"/>
      <c r="R65" s="99"/>
    </row>
    <row r="66" spans="1:27" x14ac:dyDescent="0.2">
      <c r="A66" s="95" t="s">
        <v>64</v>
      </c>
      <c r="C66">
        <v>2</v>
      </c>
      <c r="D66">
        <v>8</v>
      </c>
      <c r="E66">
        <v>0</v>
      </c>
      <c r="F66" s="119">
        <f>SUM(B66:E66)</f>
        <v>10</v>
      </c>
      <c r="G66" s="317">
        <v>500</v>
      </c>
      <c r="H66" s="95">
        <f>F66*G66</f>
        <v>5000</v>
      </c>
      <c r="I66" s="99"/>
      <c r="J66" s="95" t="s">
        <v>64</v>
      </c>
      <c r="K66" s="95"/>
      <c r="L66" s="95"/>
      <c r="M66" s="95"/>
      <c r="N66" s="95"/>
      <c r="O66" s="119">
        <f t="shared" ref="O66:O69" si="7">SUM(K66:N66)</f>
        <v>0</v>
      </c>
      <c r="P66" s="278"/>
      <c r="Q66" s="95">
        <f>O66*P66</f>
        <v>0</v>
      </c>
      <c r="R66" s="99"/>
    </row>
    <row r="67" spans="1:27" x14ac:dyDescent="0.2">
      <c r="A67" s="95" t="s">
        <v>65</v>
      </c>
      <c r="F67" s="119">
        <f>SUM(B67:E67)</f>
        <v>0</v>
      </c>
      <c r="G67" s="317">
        <v>0</v>
      </c>
      <c r="H67" s="95">
        <f>F67*G67</f>
        <v>0</v>
      </c>
      <c r="I67" s="99"/>
      <c r="J67" s="95" t="s">
        <v>65</v>
      </c>
      <c r="K67" s="95"/>
      <c r="L67" s="95"/>
      <c r="M67" s="95"/>
      <c r="N67" s="95"/>
      <c r="O67" s="119">
        <f t="shared" si="7"/>
        <v>0</v>
      </c>
      <c r="P67" s="278"/>
      <c r="Q67" s="95">
        <f>O67*P67</f>
        <v>0</v>
      </c>
      <c r="R67" s="99"/>
    </row>
    <row r="68" spans="1:27" x14ac:dyDescent="0.2">
      <c r="A68" s="95" t="s">
        <v>66</v>
      </c>
      <c r="F68" s="119">
        <f>SUM(B68:E68)</f>
        <v>0</v>
      </c>
      <c r="G68" s="317">
        <v>0</v>
      </c>
      <c r="H68" s="95">
        <f>F68*G68</f>
        <v>0</v>
      </c>
      <c r="I68" s="99"/>
      <c r="J68" s="95" t="s">
        <v>66</v>
      </c>
      <c r="K68" s="95"/>
      <c r="L68" s="95"/>
      <c r="M68" s="95"/>
      <c r="N68" s="95"/>
      <c r="O68" s="119">
        <f t="shared" si="7"/>
        <v>0</v>
      </c>
      <c r="P68" s="278"/>
      <c r="Q68" s="95">
        <f>O68*P68</f>
        <v>0</v>
      </c>
      <c r="R68" s="99"/>
    </row>
    <row r="69" spans="1:27" x14ac:dyDescent="0.2">
      <c r="A69" s="95" t="s">
        <v>67</v>
      </c>
      <c r="F69" s="119">
        <f>SUM(B69:E69)</f>
        <v>0</v>
      </c>
      <c r="G69" s="317">
        <v>0</v>
      </c>
      <c r="H69" s="95">
        <f>F69*G69</f>
        <v>0</v>
      </c>
      <c r="I69" s="99"/>
      <c r="J69" s="95" t="s">
        <v>67</v>
      </c>
      <c r="K69" s="95"/>
      <c r="L69" s="95"/>
      <c r="M69" s="95"/>
      <c r="N69" s="95"/>
      <c r="O69" s="119">
        <f t="shared" si="7"/>
        <v>0</v>
      </c>
      <c r="P69" s="278"/>
      <c r="Q69" s="95">
        <f>O69*P69</f>
        <v>0</v>
      </c>
      <c r="R69" s="99"/>
    </row>
    <row r="70" spans="1:27" x14ac:dyDescent="0.2">
      <c r="A70" s="96" t="s">
        <v>5</v>
      </c>
      <c r="B70" s="96"/>
      <c r="C70" s="96"/>
      <c r="D70" s="96"/>
      <c r="E70" s="96"/>
      <c r="F70" s="120"/>
      <c r="G70" s="319"/>
      <c r="H70" s="96">
        <f>SUM(H66:H69)</f>
        <v>5000</v>
      </c>
      <c r="I70" s="100"/>
      <c r="J70" s="96" t="s">
        <v>5</v>
      </c>
      <c r="K70" s="96"/>
      <c r="L70" s="96"/>
      <c r="M70" s="96"/>
      <c r="N70" s="96"/>
      <c r="O70" s="120">
        <f t="shared" ref="O70" si="8">SUM(K70:N70)</f>
        <v>0</v>
      </c>
      <c r="P70" s="323"/>
      <c r="Q70" s="96">
        <f>SUM(Q66:Q69)</f>
        <v>0</v>
      </c>
      <c r="R70" s="100"/>
    </row>
    <row r="71" spans="1:27" x14ac:dyDescent="0.2">
      <c r="A71" s="98"/>
      <c r="B71" s="98"/>
      <c r="C71" s="98"/>
      <c r="D71" s="98"/>
      <c r="E71" s="98"/>
      <c r="F71" s="119"/>
      <c r="G71" s="320"/>
      <c r="H71" s="98"/>
      <c r="I71" s="102"/>
      <c r="J71" s="98"/>
      <c r="K71" s="98"/>
      <c r="L71" s="98"/>
      <c r="M71" s="98"/>
      <c r="N71" s="98"/>
      <c r="O71" s="119"/>
      <c r="P71" s="324"/>
      <c r="Q71" s="98"/>
      <c r="R71" s="102"/>
    </row>
    <row r="72" spans="1:27" x14ac:dyDescent="0.2">
      <c r="A72" s="93"/>
      <c r="B72" s="93"/>
      <c r="C72" s="93"/>
      <c r="D72" s="93"/>
      <c r="E72" s="93"/>
      <c r="F72" s="123"/>
      <c r="G72" s="321"/>
      <c r="H72" s="93"/>
      <c r="I72" s="93"/>
      <c r="J72" s="93"/>
      <c r="K72" s="93"/>
      <c r="L72" s="93"/>
      <c r="M72" s="93"/>
      <c r="N72" s="93"/>
      <c r="O72" s="123"/>
      <c r="P72" s="321"/>
      <c r="Q72" s="93"/>
      <c r="R72" s="93"/>
    </row>
    <row r="73" spans="1:27" ht="15.75" x14ac:dyDescent="0.25">
      <c r="A73" s="94" t="s">
        <v>97</v>
      </c>
      <c r="B73" s="23"/>
      <c r="C73" s="23"/>
      <c r="D73" s="23"/>
      <c r="E73" s="23"/>
      <c r="F73" s="119"/>
      <c r="H73" s="103">
        <f>H55+H10+H48+H18+H26+H34+H41+H63+H70</f>
        <v>23931797</v>
      </c>
      <c r="I73" s="92"/>
      <c r="J73" s="23"/>
      <c r="K73" s="23"/>
      <c r="L73" s="23"/>
      <c r="M73" s="23"/>
      <c r="N73" s="23"/>
      <c r="O73" s="119"/>
      <c r="Q73" s="103">
        <f>Q55+Q10+Q48+Q18+Q26+Q34+Q41+Q63+Q70</f>
        <v>65300</v>
      </c>
      <c r="R73" s="92"/>
    </row>
    <row r="74" spans="1:27" x14ac:dyDescent="0.2">
      <c r="A74" s="23"/>
      <c r="B74" s="23"/>
      <c r="C74" s="23"/>
      <c r="D74" s="23"/>
      <c r="E74" s="23"/>
      <c r="F74" s="119"/>
      <c r="G74" s="318" t="s">
        <v>111</v>
      </c>
      <c r="H74" s="23"/>
      <c r="I74" s="92"/>
      <c r="J74" s="23"/>
      <c r="K74" s="23"/>
      <c r="L74" s="23"/>
      <c r="M74" s="23"/>
      <c r="N74" s="23"/>
      <c r="O74" s="119"/>
      <c r="P74" s="279" t="s">
        <v>111</v>
      </c>
      <c r="Q74" s="23"/>
      <c r="R74" s="92"/>
    </row>
    <row r="75" spans="1:27" x14ac:dyDescent="0.2">
      <c r="A75" s="23" t="s">
        <v>64</v>
      </c>
      <c r="B75" s="23">
        <f>SUMIF(A$5:A$70,$A75,B$5:B$70)</f>
        <v>4289</v>
      </c>
      <c r="C75" s="23">
        <f>SUMIF(A$5:A$70,$A75,C$5:C$70)</f>
        <v>4518</v>
      </c>
      <c r="D75" s="23">
        <f>SUMIF(A$5:A$70,$A75,D$5:D$70)</f>
        <v>4764</v>
      </c>
      <c r="E75" s="23">
        <f>SUMIF(A$5:A$70,$A75,E$5:E$70)</f>
        <v>5166</v>
      </c>
      <c r="F75" s="119">
        <f t="shared" ref="F75:F80" si="9">SUM(B75:E75)</f>
        <v>18737</v>
      </c>
      <c r="G75" s="322">
        <f>H75/F75</f>
        <v>386.36387895607623</v>
      </c>
      <c r="H75" s="103">
        <f t="shared" ref="H75:H81" si="10">SUMIF(A$5:A$70,$A75,H$5:H$70)</f>
        <v>7239300</v>
      </c>
      <c r="I75" s="92"/>
      <c r="J75" s="23" t="s">
        <v>64</v>
      </c>
      <c r="K75" s="23">
        <f>SUMIF(J$5:J$70,$A75,K$5:K$70)</f>
        <v>6</v>
      </c>
      <c r="L75" s="23">
        <f>SUMIF(J$5:J$70,$A75,L$5:L$70)</f>
        <v>8</v>
      </c>
      <c r="M75" s="23">
        <f>SUMIF(J$5:J$70,$A75,M$5:M$70)</f>
        <v>1</v>
      </c>
      <c r="N75" s="23">
        <f>SUMIF(J$5:J$70,$A75,N$5:N$70)</f>
        <v>1</v>
      </c>
      <c r="O75" s="119">
        <f t="shared" ref="O75:O80" si="11">SUM(K75:N75)</f>
        <v>16</v>
      </c>
      <c r="P75" s="325">
        <f>Q75/O75</f>
        <v>300</v>
      </c>
      <c r="Q75" s="103">
        <f t="shared" ref="Q75:Q80" si="12">SUMIF(J$5:J$70,$A75,Q$5:Q$70)</f>
        <v>4800</v>
      </c>
      <c r="R75" s="92"/>
      <c r="S75" s="23" t="s">
        <v>64</v>
      </c>
      <c r="T75" s="23"/>
      <c r="U75" s="23"/>
      <c r="V75" s="23"/>
      <c r="W75" s="23"/>
      <c r="X75" s="119">
        <f>X13+X29</f>
        <v>9</v>
      </c>
      <c r="Z75" s="119">
        <f>Z13+Z29</f>
        <v>5780</v>
      </c>
    </row>
    <row r="76" spans="1:27" x14ac:dyDescent="0.2">
      <c r="A76" s="23" t="s">
        <v>65</v>
      </c>
      <c r="B76" s="23">
        <f>SUMIF(A$5:A$70,$A76,B$5:B$70)</f>
        <v>2169</v>
      </c>
      <c r="C76" s="23">
        <f>SUMIF(A$5:A$70,$A76,C$5:C$70)</f>
        <v>2158</v>
      </c>
      <c r="D76" s="23">
        <f>SUMIF(A$5:A$70,$A76,D$5:D$70)</f>
        <v>2285</v>
      </c>
      <c r="E76" s="23">
        <f>SUMIF(A$5:A$70,$A76,E$5:E$70)</f>
        <v>2307</v>
      </c>
      <c r="F76" s="119">
        <f t="shared" si="9"/>
        <v>8919</v>
      </c>
      <c r="G76" s="322">
        <f>H76/F76</f>
        <v>516.54333445453528</v>
      </c>
      <c r="H76" s="103">
        <f t="shared" si="10"/>
        <v>4607050</v>
      </c>
      <c r="I76" s="92"/>
      <c r="J76" s="23" t="s">
        <v>65</v>
      </c>
      <c r="K76" s="23">
        <f>SUMIF(J$5:J$70,$A76,K$5:K$70)</f>
        <v>19</v>
      </c>
      <c r="L76" s="23">
        <f>SUMIF(J$5:J$70,$A76,L$5:L$70)</f>
        <v>22</v>
      </c>
      <c r="M76" s="23">
        <f>SUMIF(J$5:J$70,$A76,M$5:M$70)</f>
        <v>3</v>
      </c>
      <c r="N76" s="23">
        <f>SUMIF(J$5:J$70,$A76,N$5:N$70)</f>
        <v>6</v>
      </c>
      <c r="O76" s="119">
        <f t="shared" si="11"/>
        <v>50</v>
      </c>
      <c r="P76" s="325">
        <f>Q76/O76</f>
        <v>550</v>
      </c>
      <c r="Q76" s="103">
        <f t="shared" si="12"/>
        <v>27500</v>
      </c>
      <c r="R76" s="92"/>
      <c r="S76" s="23" t="s">
        <v>65</v>
      </c>
      <c r="T76" s="23"/>
      <c r="U76" s="23"/>
      <c r="V76" s="23"/>
      <c r="W76" s="23"/>
      <c r="X76" s="119">
        <f>X14+X30</f>
        <v>7</v>
      </c>
      <c r="Z76" s="119">
        <f>Z14+Z30</f>
        <v>6930</v>
      </c>
    </row>
    <row r="77" spans="1:27" x14ac:dyDescent="0.2">
      <c r="A77" s="23" t="s">
        <v>66</v>
      </c>
      <c r="B77" s="23">
        <f>SUMIF(A$5:A$70,$A77,B$5:B$70)</f>
        <v>1176</v>
      </c>
      <c r="C77" s="23">
        <f>SUMIF(A$5:A$70,$A77,C$5:C$70)</f>
        <v>1236</v>
      </c>
      <c r="D77" s="23">
        <f>SUMIF(A$5:A$70,$A77,D$5:D$70)</f>
        <v>1223</v>
      </c>
      <c r="E77" s="23">
        <f>SUMIF(A$5:A$70,$A77,E$5:E$70)</f>
        <v>1313</v>
      </c>
      <c r="F77" s="119">
        <f t="shared" si="9"/>
        <v>4948</v>
      </c>
      <c r="G77" s="322">
        <f>H77/F77</f>
        <v>1029.6129749393695</v>
      </c>
      <c r="H77" s="103">
        <f t="shared" si="10"/>
        <v>5094525</v>
      </c>
      <c r="I77" s="92"/>
      <c r="J77" s="23" t="s">
        <v>66</v>
      </c>
      <c r="K77" s="23">
        <f>SUMIF(J$5:J$70,$A77,K$5:K$70)</f>
        <v>1</v>
      </c>
      <c r="L77" s="23">
        <f>SUMIF(J$5:J$70,$A77,L$5:L$70)</f>
        <v>3</v>
      </c>
      <c r="M77" s="23">
        <f>SUMIF(J$5:J$70,$A77,M$5:M$70)</f>
        <v>0</v>
      </c>
      <c r="N77" s="23">
        <f>SUMIF(J$5:J$70,$A77,N$5:N$70)</f>
        <v>0</v>
      </c>
      <c r="O77" s="119">
        <f t="shared" si="11"/>
        <v>4</v>
      </c>
      <c r="P77" s="325">
        <f>Q77/O77</f>
        <v>750</v>
      </c>
      <c r="Q77" s="103">
        <f t="shared" si="12"/>
        <v>3000</v>
      </c>
      <c r="R77" s="92"/>
      <c r="S77" s="23" t="s">
        <v>66</v>
      </c>
      <c r="T77" s="23"/>
      <c r="U77" s="23"/>
      <c r="V77" s="23"/>
      <c r="W77" s="23"/>
      <c r="X77" s="119">
        <f>X15+X31</f>
        <v>8</v>
      </c>
      <c r="Z77" s="119">
        <f>Z15+Z31</f>
        <v>10875</v>
      </c>
    </row>
    <row r="78" spans="1:27" x14ac:dyDescent="0.2">
      <c r="A78" s="23" t="s">
        <v>67</v>
      </c>
      <c r="B78" s="23">
        <f>SUMIF(A$5:A$70,$A78,B$5:B$70)</f>
        <v>494</v>
      </c>
      <c r="C78" s="23">
        <f>SUMIF(A$5:A$70,$A78,C$5:C$70)</f>
        <v>533</v>
      </c>
      <c r="D78" s="23">
        <f>SUMIF(A$5:A$70,$A78,D$5:D$70)</f>
        <v>682</v>
      </c>
      <c r="E78" s="23">
        <f>SUMIF(A$5:A$70,$A78,E$5:E$70)</f>
        <v>638</v>
      </c>
      <c r="F78" s="119">
        <f t="shared" si="9"/>
        <v>2347</v>
      </c>
      <c r="G78" s="322">
        <f>H78/F78</f>
        <v>2040.1576480613548</v>
      </c>
      <c r="H78" s="103">
        <f t="shared" si="10"/>
        <v>4788250</v>
      </c>
      <c r="I78" s="92"/>
      <c r="J78" s="23" t="s">
        <v>67</v>
      </c>
      <c r="K78" s="23">
        <f>SUMIF(J$5:J$70,$A78,K$5:K$70)</f>
        <v>4</v>
      </c>
      <c r="L78" s="23">
        <f>SUMIF(J$5:J$70,$A78,L$5:L$70)</f>
        <v>9</v>
      </c>
      <c r="M78" s="23">
        <f>SUMIF(J$5:J$70,$A78,M$5:M$70)</f>
        <v>6</v>
      </c>
      <c r="N78" s="23">
        <f>SUMIF(J$5:J$70,$A78,N$5:N$70)</f>
        <v>1</v>
      </c>
      <c r="O78" s="119">
        <f t="shared" si="11"/>
        <v>20</v>
      </c>
      <c r="P78" s="325">
        <f>Q78/O78</f>
        <v>1500</v>
      </c>
      <c r="Q78" s="103">
        <f t="shared" si="12"/>
        <v>30000</v>
      </c>
      <c r="R78" s="92"/>
      <c r="S78" s="23" t="s">
        <v>67</v>
      </c>
      <c r="T78" s="23"/>
      <c r="U78" s="23"/>
      <c r="V78" s="23"/>
      <c r="W78" s="23"/>
      <c r="X78" s="119">
        <f>X16+X32</f>
        <v>7</v>
      </c>
      <c r="Z78" s="119">
        <f>Z16+Z32</f>
        <v>16400</v>
      </c>
    </row>
    <row r="79" spans="1:27" x14ac:dyDescent="0.2">
      <c r="A79" s="23" t="s">
        <v>68</v>
      </c>
      <c r="B79" s="23">
        <f>SUMIF(A$5:A$70,$A79,B$5:B$70)</f>
        <v>0</v>
      </c>
      <c r="C79" s="23">
        <f>SUMIF(A$5:A$70,$A79,C$5:C$70)</f>
        <v>0</v>
      </c>
      <c r="D79" s="23">
        <f>SUMIF(A$5:A$70,$A79,D$5:D$70)</f>
        <v>0</v>
      </c>
      <c r="E79" s="23">
        <f>SUMIF(A$5:A$70,$A79,E$5:E$70)</f>
        <v>0</v>
      </c>
      <c r="F79" s="119">
        <f t="shared" si="9"/>
        <v>0</v>
      </c>
      <c r="G79" s="322" t="e">
        <f>H79/F79</f>
        <v>#DIV/0!</v>
      </c>
      <c r="H79" s="103">
        <f t="shared" si="10"/>
        <v>0</v>
      </c>
      <c r="I79" s="92"/>
      <c r="J79" s="23" t="s">
        <v>68</v>
      </c>
      <c r="K79" s="23">
        <f>SUMIF(J$5:J$70,$A79,K$5:K$70)</f>
        <v>0</v>
      </c>
      <c r="L79" s="23">
        <f>SUMIF(J$5:J$70,$A79,L$5:L$70)</f>
        <v>0</v>
      </c>
      <c r="M79" s="23">
        <f>SUMIF(J$5:J$70,$A79,M$5:M$70)</f>
        <v>0</v>
      </c>
      <c r="N79" s="23">
        <f>SUMIF(J$5:J$70,$A79,N$5:N$70)</f>
        <v>0</v>
      </c>
      <c r="O79" s="119">
        <f t="shared" si="11"/>
        <v>0</v>
      </c>
      <c r="P79" s="325" t="e">
        <f>Q79/O79</f>
        <v>#DIV/0!</v>
      </c>
      <c r="Q79" s="103">
        <f t="shared" si="12"/>
        <v>0</v>
      </c>
      <c r="R79" s="92"/>
      <c r="S79" s="23" t="s">
        <v>68</v>
      </c>
      <c r="T79" s="23"/>
      <c r="U79" s="23"/>
      <c r="V79" s="23"/>
      <c r="W79" s="23"/>
      <c r="X79" s="119">
        <f>X17+X33</f>
        <v>72</v>
      </c>
      <c r="Y79" s="119"/>
      <c r="Z79" s="119">
        <f>Z17+Z33</f>
        <v>286500</v>
      </c>
    </row>
    <row r="80" spans="1:27" x14ac:dyDescent="0.2">
      <c r="A80" s="30" t="s">
        <v>5</v>
      </c>
      <c r="B80" s="96">
        <f>SUM(B75:B79)</f>
        <v>8128</v>
      </c>
      <c r="C80" s="96">
        <f>SUM(C75:C79)</f>
        <v>8445</v>
      </c>
      <c r="D80" s="96">
        <f>SUM(D75:D79)</f>
        <v>8954</v>
      </c>
      <c r="E80" s="96">
        <f>SUM(E75:E79)</f>
        <v>9424</v>
      </c>
      <c r="F80" s="120">
        <f t="shared" si="9"/>
        <v>34951</v>
      </c>
      <c r="G80" s="319"/>
      <c r="H80" s="96">
        <f t="shared" si="10"/>
        <v>23931797</v>
      </c>
      <c r="I80" s="92"/>
      <c r="J80" s="30" t="s">
        <v>5</v>
      </c>
      <c r="K80" s="96">
        <f>SUM(K75:K79)</f>
        <v>30</v>
      </c>
      <c r="L80" s="96">
        <f>SUM(L75:L79)</f>
        <v>42</v>
      </c>
      <c r="M80" s="96">
        <f>SUM(M75:M79)</f>
        <v>10</v>
      </c>
      <c r="N80" s="96">
        <f>SUM(N75:N79)</f>
        <v>8</v>
      </c>
      <c r="O80" s="120">
        <f t="shared" si="11"/>
        <v>90</v>
      </c>
      <c r="P80" s="323"/>
      <c r="Q80" s="96">
        <f t="shared" si="12"/>
        <v>65300</v>
      </c>
      <c r="R80" s="92"/>
      <c r="S80" s="30" t="s">
        <v>5</v>
      </c>
      <c r="T80" s="96"/>
      <c r="U80" s="96"/>
      <c r="V80" s="96"/>
      <c r="W80" s="96"/>
      <c r="X80" s="248">
        <f>SUM(X75:X79)</f>
        <v>103</v>
      </c>
      <c r="Y80" s="248"/>
      <c r="Z80" s="248">
        <f>SUM(Z75:Z79)</f>
        <v>326485</v>
      </c>
      <c r="AA80" s="398">
        <f>H80+Q80+Z80</f>
        <v>24323582</v>
      </c>
    </row>
    <row r="81" spans="1:18" x14ac:dyDescent="0.2">
      <c r="A81" s="104" t="s">
        <v>99</v>
      </c>
      <c r="B81" s="105"/>
      <c r="C81" s="105"/>
      <c r="D81" s="105"/>
      <c r="E81" s="105"/>
      <c r="F81" s="124">
        <f>SUM(F75:F79)</f>
        <v>34951</v>
      </c>
      <c r="G81" s="315"/>
      <c r="H81" s="106">
        <f t="shared" si="10"/>
        <v>0</v>
      </c>
      <c r="I81" s="107"/>
      <c r="J81" s="105"/>
      <c r="K81" s="105"/>
      <c r="L81" s="105"/>
      <c r="M81" s="105" t="s">
        <v>143</v>
      </c>
      <c r="N81" s="105"/>
      <c r="O81" s="124">
        <f>SUM(O75:O79)</f>
        <v>90</v>
      </c>
      <c r="P81" s="105"/>
      <c r="Q81" s="106"/>
      <c r="R81" s="107"/>
    </row>
  </sheetData>
  <phoneticPr fontId="15" type="noConversion"/>
  <pageMargins left="0.74803149606299213" right="0.74803149606299213" top="0.70866141732283472" bottom="0.62992125984251968" header="0.51181102362204722" footer="0.51181102362204722"/>
  <pageSetup paperSize="9" scale="66" orientation="portrait" r:id="rId1"/>
  <headerFooter alignWithMargins="0">
    <oddHeader>&amp;CReparasjoner 2013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4"/>
  <sheetViews>
    <sheetView workbookViewId="0">
      <pane xSplit="1" ySplit="3" topLeftCell="BA4" activePane="bottomRight" state="frozen"/>
      <selection pane="topRight" activeCell="B1" sqref="B1"/>
      <selection pane="bottomLeft" activeCell="A3" sqref="A3"/>
      <selection pane="bottomRight" activeCell="BT27" sqref="BT27"/>
    </sheetView>
  </sheetViews>
  <sheetFormatPr baseColWidth="10" defaultRowHeight="12.75" x14ac:dyDescent="0.2"/>
  <cols>
    <col min="1" max="1" width="25.140625" customWidth="1"/>
    <col min="2" max="2" width="6" customWidth="1"/>
    <col min="3" max="4" width="5.28515625" customWidth="1"/>
    <col min="5" max="5" width="5.42578125" customWidth="1"/>
    <col min="6" max="6" width="5.28515625" customWidth="1"/>
    <col min="7" max="7" width="7.42578125" customWidth="1"/>
    <col min="8" max="8" width="10.140625" customWidth="1"/>
    <col min="9" max="9" width="5.42578125" customWidth="1"/>
    <col min="10" max="10" width="5.28515625" customWidth="1"/>
    <col min="11" max="13" width="5.42578125" customWidth="1"/>
    <col min="14" max="14" width="7.42578125" customWidth="1"/>
    <col min="15" max="15" width="10.140625" customWidth="1"/>
    <col min="16" max="17" width="5.5703125" customWidth="1"/>
    <col min="18" max="18" width="5.140625" customWidth="1"/>
    <col min="19" max="19" width="5.28515625" customWidth="1"/>
    <col min="20" max="20" width="5.5703125" customWidth="1"/>
    <col min="21" max="21" width="7.42578125" customWidth="1"/>
    <col min="22" max="22" width="9.85546875" style="202" customWidth="1"/>
    <col min="23" max="23" width="5.28515625" customWidth="1"/>
    <col min="24" max="25" width="5.42578125" customWidth="1"/>
    <col min="26" max="26" width="5.140625" customWidth="1"/>
    <col min="27" max="27" width="5.28515625" customWidth="1"/>
    <col min="28" max="28" width="7.42578125" customWidth="1"/>
    <col min="29" max="29" width="10.28515625" customWidth="1"/>
    <col min="30" max="30" width="8" customWidth="1"/>
    <col min="31" max="31" width="5.140625" customWidth="1"/>
    <col min="32" max="34" width="5.28515625" customWidth="1"/>
    <col min="35" max="35" width="5.42578125" customWidth="1"/>
    <col min="36" max="36" width="7.5703125" customWidth="1"/>
    <col min="37" max="37" width="9.85546875" customWidth="1"/>
    <col min="38" max="38" width="7.7109375" customWidth="1"/>
    <col min="39" max="39" width="5.7109375" customWidth="1"/>
    <col min="40" max="42" width="5.42578125" customWidth="1"/>
    <col min="43" max="43" width="5.5703125" customWidth="1"/>
    <col min="44" max="44" width="7.42578125" customWidth="1"/>
    <col min="45" max="45" width="9.7109375" customWidth="1"/>
    <col min="46" max="49" width="5.42578125" customWidth="1"/>
    <col min="50" max="50" width="5.5703125" customWidth="1"/>
    <col min="51" max="51" width="7.85546875" customWidth="1"/>
    <col min="52" max="52" width="9.7109375" customWidth="1"/>
    <col min="53" max="54" width="5.28515625" customWidth="1"/>
    <col min="55" max="55" width="5.42578125" customWidth="1"/>
    <col min="56" max="56" width="5.28515625" customWidth="1"/>
    <col min="57" max="57" width="6" customWidth="1"/>
    <col min="58" max="58" width="7.7109375" customWidth="1"/>
    <col min="59" max="59" width="10" customWidth="1"/>
    <col min="60" max="60" width="5.28515625" customWidth="1"/>
    <col min="61" max="61" width="5.5703125" customWidth="1"/>
    <col min="62" max="62" width="5.42578125" customWidth="1"/>
    <col min="63" max="63" width="5.28515625" customWidth="1"/>
    <col min="64" max="64" width="5.5703125" customWidth="1"/>
    <col min="65" max="65" width="7.7109375" customWidth="1"/>
    <col min="66" max="66" width="10" customWidth="1"/>
    <col min="67" max="67" width="6.7109375" customWidth="1"/>
    <col min="68" max="68" width="6.28515625" customWidth="1"/>
    <col min="69" max="69" width="5.7109375" customWidth="1"/>
    <col min="70" max="70" width="5.5703125" customWidth="1"/>
    <col min="71" max="71" width="9.7109375" customWidth="1"/>
    <col min="72" max="72" width="10.42578125" customWidth="1"/>
  </cols>
  <sheetData>
    <row r="1" spans="1:72" ht="16.5" thickBot="1" x14ac:dyDescent="0.3">
      <c r="A1" s="212" t="s">
        <v>511</v>
      </c>
    </row>
    <row r="2" spans="1:72" ht="13.5" thickTop="1" x14ac:dyDescent="0.2">
      <c r="A2" s="211"/>
      <c r="B2" s="112" t="s">
        <v>0</v>
      </c>
      <c r="C2" s="129"/>
      <c r="D2" s="126"/>
      <c r="E2" s="126"/>
      <c r="F2" s="130"/>
      <c r="G2" s="126"/>
      <c r="H2" s="138"/>
      <c r="I2" s="112" t="s">
        <v>1</v>
      </c>
      <c r="J2" s="129"/>
      <c r="K2" s="126"/>
      <c r="L2" s="126"/>
      <c r="M2" s="130"/>
      <c r="N2" s="126"/>
      <c r="O2" s="138"/>
      <c r="P2" s="112" t="s">
        <v>36</v>
      </c>
      <c r="Q2" s="129"/>
      <c r="R2" s="126"/>
      <c r="S2" s="126"/>
      <c r="T2" s="130"/>
      <c r="U2" s="126"/>
      <c r="V2" s="205"/>
      <c r="W2" s="112" t="s">
        <v>2</v>
      </c>
      <c r="X2" s="129"/>
      <c r="Y2" s="126"/>
      <c r="Z2" s="126"/>
      <c r="AA2" s="130"/>
      <c r="AB2" s="126"/>
      <c r="AC2" s="138"/>
      <c r="AD2" s="292"/>
      <c r="AE2" s="287" t="s">
        <v>3</v>
      </c>
      <c r="AF2" s="129"/>
      <c r="AG2" s="126"/>
      <c r="AH2" s="126"/>
      <c r="AI2" s="130"/>
      <c r="AJ2" s="135"/>
      <c r="AK2" s="138"/>
      <c r="AL2" s="292"/>
      <c r="AM2" s="112" t="s">
        <v>95</v>
      </c>
      <c r="AN2" s="129"/>
      <c r="AO2" s="126"/>
      <c r="AP2" s="126"/>
      <c r="AQ2" s="130"/>
      <c r="AR2" s="135"/>
      <c r="AS2" s="138"/>
      <c r="AT2" s="112" t="s">
        <v>131</v>
      </c>
      <c r="AU2" s="129"/>
      <c r="AV2" s="126"/>
      <c r="AW2" s="126"/>
      <c r="AX2" s="130"/>
      <c r="AY2" s="126"/>
      <c r="AZ2" s="138"/>
      <c r="BA2" s="112" t="s">
        <v>4</v>
      </c>
      <c r="BB2" s="129"/>
      <c r="BC2" s="126"/>
      <c r="BD2" s="126"/>
      <c r="BE2" s="130"/>
      <c r="BF2" s="135"/>
      <c r="BG2" s="138"/>
      <c r="BH2" s="112" t="s">
        <v>96</v>
      </c>
      <c r="BI2" s="129"/>
      <c r="BJ2" s="126"/>
      <c r="BK2" s="126"/>
      <c r="BL2" s="130"/>
      <c r="BM2" s="135"/>
      <c r="BN2" s="140"/>
      <c r="BO2" s="142" t="s">
        <v>122</v>
      </c>
      <c r="BP2" s="143"/>
      <c r="BQ2" s="144"/>
      <c r="BR2" s="144"/>
      <c r="BS2" s="167"/>
      <c r="BT2" s="145"/>
    </row>
    <row r="3" spans="1:72" ht="25.5" customHeight="1" x14ac:dyDescent="0.2">
      <c r="A3" s="90" t="s">
        <v>71</v>
      </c>
      <c r="B3" s="128" t="s">
        <v>116</v>
      </c>
      <c r="C3" s="128" t="s">
        <v>117</v>
      </c>
      <c r="D3" s="128" t="s">
        <v>118</v>
      </c>
      <c r="E3" s="128" t="s">
        <v>119</v>
      </c>
      <c r="F3" s="131" t="s">
        <v>120</v>
      </c>
      <c r="G3" s="137" t="s">
        <v>104</v>
      </c>
      <c r="H3" s="139" t="s">
        <v>121</v>
      </c>
      <c r="I3" s="128" t="s">
        <v>116</v>
      </c>
      <c r="J3" s="128" t="s">
        <v>117</v>
      </c>
      <c r="K3" s="128" t="s">
        <v>118</v>
      </c>
      <c r="L3" s="128" t="s">
        <v>119</v>
      </c>
      <c r="M3" s="131" t="s">
        <v>120</v>
      </c>
      <c r="N3" s="137" t="s">
        <v>104</v>
      </c>
      <c r="O3" s="139" t="s">
        <v>121</v>
      </c>
      <c r="P3" s="128" t="s">
        <v>116</v>
      </c>
      <c r="Q3" s="128" t="s">
        <v>117</v>
      </c>
      <c r="R3" s="128" t="s">
        <v>118</v>
      </c>
      <c r="S3" s="128" t="s">
        <v>119</v>
      </c>
      <c r="T3" s="131" t="s">
        <v>120</v>
      </c>
      <c r="U3" s="137" t="s">
        <v>104</v>
      </c>
      <c r="V3" s="206" t="s">
        <v>121</v>
      </c>
      <c r="W3" s="128" t="s">
        <v>116</v>
      </c>
      <c r="X3" s="128" t="s">
        <v>117</v>
      </c>
      <c r="Y3" s="128" t="s">
        <v>118</v>
      </c>
      <c r="Z3" s="128" t="s">
        <v>119</v>
      </c>
      <c r="AA3" s="131" t="s">
        <v>120</v>
      </c>
      <c r="AB3" s="137" t="s">
        <v>104</v>
      </c>
      <c r="AC3" s="139" t="s">
        <v>121</v>
      </c>
      <c r="AD3" s="293"/>
      <c r="AE3" s="288" t="s">
        <v>116</v>
      </c>
      <c r="AF3" s="134" t="s">
        <v>117</v>
      </c>
      <c r="AG3" s="134" t="s">
        <v>118</v>
      </c>
      <c r="AH3" s="134" t="s">
        <v>119</v>
      </c>
      <c r="AI3" s="131" t="s">
        <v>120</v>
      </c>
      <c r="AJ3" s="137" t="s">
        <v>104</v>
      </c>
      <c r="AK3" s="139" t="s">
        <v>121</v>
      </c>
      <c r="AL3" s="293"/>
      <c r="AM3" s="291" t="s">
        <v>116</v>
      </c>
      <c r="AN3" s="134" t="s">
        <v>117</v>
      </c>
      <c r="AO3" s="134" t="s">
        <v>118</v>
      </c>
      <c r="AP3" s="134" t="s">
        <v>119</v>
      </c>
      <c r="AQ3" s="131" t="s">
        <v>120</v>
      </c>
      <c r="AR3" s="137" t="s">
        <v>104</v>
      </c>
      <c r="AS3" s="139" t="s">
        <v>121</v>
      </c>
      <c r="AT3" s="128" t="s">
        <v>116</v>
      </c>
      <c r="AU3" s="128" t="s">
        <v>117</v>
      </c>
      <c r="AV3" s="128" t="s">
        <v>118</v>
      </c>
      <c r="AW3" s="128" t="s">
        <v>119</v>
      </c>
      <c r="AX3" s="131" t="s">
        <v>120</v>
      </c>
      <c r="AY3" s="137" t="s">
        <v>104</v>
      </c>
      <c r="AZ3" s="139" t="s">
        <v>121</v>
      </c>
      <c r="BA3" s="128" t="s">
        <v>116</v>
      </c>
      <c r="BB3" s="128" t="s">
        <v>117</v>
      </c>
      <c r="BC3" s="128" t="s">
        <v>118</v>
      </c>
      <c r="BD3" s="128" t="s">
        <v>119</v>
      </c>
      <c r="BE3" s="131" t="s">
        <v>120</v>
      </c>
      <c r="BF3" s="137" t="s">
        <v>104</v>
      </c>
      <c r="BG3" s="139" t="s">
        <v>121</v>
      </c>
      <c r="BH3" s="128" t="s">
        <v>116</v>
      </c>
      <c r="BI3" s="128" t="s">
        <v>117</v>
      </c>
      <c r="BJ3" s="128" t="s">
        <v>118</v>
      </c>
      <c r="BK3" s="128" t="s">
        <v>119</v>
      </c>
      <c r="BL3" s="131" t="s">
        <v>120</v>
      </c>
      <c r="BM3" s="137" t="s">
        <v>104</v>
      </c>
      <c r="BN3" s="141" t="s">
        <v>121</v>
      </c>
      <c r="BO3" s="146" t="s">
        <v>116</v>
      </c>
      <c r="BP3" s="134" t="s">
        <v>117</v>
      </c>
      <c r="BQ3" s="134" t="s">
        <v>118</v>
      </c>
      <c r="BR3" s="134" t="s">
        <v>119</v>
      </c>
      <c r="BS3" s="131" t="s">
        <v>120</v>
      </c>
      <c r="BT3" s="147" t="s">
        <v>121</v>
      </c>
    </row>
    <row r="4" spans="1:72" s="83" customFormat="1" ht="38.25" customHeight="1" x14ac:dyDescent="0.2">
      <c r="A4" s="177" t="s">
        <v>132</v>
      </c>
      <c r="B4" s="178"/>
      <c r="C4" s="178"/>
      <c r="D4" s="178"/>
      <c r="E4" s="178"/>
      <c r="F4" s="179"/>
      <c r="G4" s="180"/>
      <c r="H4" s="181"/>
      <c r="I4" s="178"/>
      <c r="J4" s="178"/>
      <c r="K4" s="178"/>
      <c r="L4" s="178"/>
      <c r="M4" s="179"/>
      <c r="N4" s="180"/>
      <c r="O4" s="181"/>
      <c r="P4" s="115"/>
      <c r="Q4" s="178"/>
      <c r="R4" s="178"/>
      <c r="S4" s="178"/>
      <c r="T4" s="179"/>
      <c r="U4" s="180"/>
      <c r="V4" s="207"/>
      <c r="W4" s="178"/>
      <c r="X4" s="178"/>
      <c r="Y4" s="178"/>
      <c r="Z4" s="178"/>
      <c r="AA4" s="179"/>
      <c r="AB4" s="180"/>
      <c r="AC4" s="181"/>
      <c r="AD4" s="293"/>
      <c r="AE4" s="289"/>
      <c r="AF4" s="184"/>
      <c r="AG4" s="184"/>
      <c r="AH4" s="184"/>
      <c r="AI4" s="179"/>
      <c r="AJ4" s="180"/>
      <c r="AK4" s="181"/>
      <c r="AL4" s="293"/>
      <c r="AM4" s="115"/>
      <c r="AN4" s="184"/>
      <c r="AO4" s="184"/>
      <c r="AP4" s="184"/>
      <c r="AQ4" s="179"/>
      <c r="AR4" s="180"/>
      <c r="AS4" s="181"/>
      <c r="AT4" s="115"/>
      <c r="AU4" s="178"/>
      <c r="AV4" s="178"/>
      <c r="AW4" s="178"/>
      <c r="AX4" s="179"/>
      <c r="AY4" s="180"/>
      <c r="AZ4" s="181"/>
      <c r="BA4" s="115"/>
      <c r="BB4" s="178"/>
      <c r="BC4" s="178"/>
      <c r="BD4" s="178"/>
      <c r="BE4" s="179"/>
      <c r="BF4" s="180"/>
      <c r="BG4" s="151"/>
      <c r="BH4" s="24"/>
      <c r="BI4" s="178"/>
      <c r="BJ4" s="178"/>
      <c r="BK4" s="178"/>
      <c r="BL4" s="179"/>
      <c r="BM4" s="180"/>
      <c r="BN4" s="182"/>
      <c r="BO4" s="183"/>
      <c r="BP4" s="184"/>
      <c r="BQ4" s="184"/>
      <c r="BR4" s="184"/>
      <c r="BS4" s="179"/>
      <c r="BT4" s="185"/>
    </row>
    <row r="5" spans="1:72" x14ac:dyDescent="0.2">
      <c r="A5" t="s">
        <v>90</v>
      </c>
      <c r="B5" s="24"/>
      <c r="C5" s="66"/>
      <c r="D5" s="66"/>
      <c r="E5" s="66"/>
      <c r="F5" s="132"/>
      <c r="G5" s="66"/>
      <c r="H5" s="153"/>
      <c r="I5" s="24"/>
      <c r="J5" s="66"/>
      <c r="K5" s="66"/>
      <c r="L5" s="66"/>
      <c r="M5" s="132">
        <f>SUM(I5:L5)</f>
        <v>0</v>
      </c>
      <c r="N5" s="66"/>
      <c r="O5" s="153">
        <f>M5*N5</f>
        <v>0</v>
      </c>
      <c r="P5" s="24"/>
      <c r="Q5" s="66"/>
      <c r="R5" s="66"/>
      <c r="S5" s="66"/>
      <c r="T5" s="132">
        <f>SUM(P5:S5)</f>
        <v>0</v>
      </c>
      <c r="U5" s="303"/>
      <c r="V5" s="208">
        <f>T5*U5</f>
        <v>0</v>
      </c>
      <c r="W5" s="24"/>
      <c r="X5" s="66"/>
      <c r="Z5" s="66"/>
      <c r="AA5" s="132">
        <f>SUM(W5:Z5)</f>
        <v>0</v>
      </c>
      <c r="AB5" s="303"/>
      <c r="AC5" s="153">
        <f>AA5*AB5</f>
        <v>0</v>
      </c>
      <c r="AD5" s="294"/>
      <c r="AE5" s="290"/>
      <c r="AF5" s="66"/>
      <c r="AG5" s="66"/>
      <c r="AH5" s="66"/>
      <c r="AI5" s="132">
        <f>SUM(AE5:AH5)</f>
        <v>0</v>
      </c>
      <c r="AJ5" s="25"/>
      <c r="AK5" s="153">
        <f>AI5*AJ5</f>
        <v>0</v>
      </c>
      <c r="AL5" s="294"/>
      <c r="AM5" s="24">
        <v>558</v>
      </c>
      <c r="AN5" s="66">
        <v>230</v>
      </c>
      <c r="AO5" s="66">
        <v>237</v>
      </c>
      <c r="AP5" s="66">
        <v>354</v>
      </c>
      <c r="AQ5" s="132">
        <f>SUM(AM5:AP5)</f>
        <v>1379</v>
      </c>
      <c r="AR5" s="304">
        <v>200</v>
      </c>
      <c r="AS5" s="153">
        <f>AQ5*AR5</f>
        <v>275800</v>
      </c>
      <c r="AT5" s="24"/>
      <c r="AU5" s="66"/>
      <c r="AV5" s="66"/>
      <c r="AW5" s="66"/>
      <c r="AX5" s="132">
        <f>SUM(AT5:AW5)</f>
        <v>0</v>
      </c>
      <c r="AY5" s="303"/>
      <c r="AZ5" s="153">
        <f>AX5*AY5</f>
        <v>0</v>
      </c>
      <c r="BA5" s="66"/>
      <c r="BB5" s="66"/>
      <c r="BC5" s="66"/>
      <c r="BD5" s="66"/>
      <c r="BE5" s="132">
        <f>SUM(BA5:BD5)</f>
        <v>0</v>
      </c>
      <c r="BF5" s="25"/>
      <c r="BG5" s="151">
        <f>BE5*BF5</f>
        <v>0</v>
      </c>
      <c r="BH5" s="24"/>
      <c r="BI5" s="66"/>
      <c r="BJ5" s="66"/>
      <c r="BK5" s="66"/>
      <c r="BL5" s="132">
        <f>SUM(BH5:BK5)</f>
        <v>0</v>
      </c>
      <c r="BM5" s="25"/>
      <c r="BN5" s="151">
        <f>BL5*BM5</f>
        <v>0</v>
      </c>
      <c r="BO5" s="236">
        <f>B5+I5+P5+W5+AE5+AM5+AT5+BA5+BH5</f>
        <v>558</v>
      </c>
      <c r="BP5" s="66">
        <f>C5+J5+Q5+X5+AF5+AN5+AU5+BB5+BI5</f>
        <v>230</v>
      </c>
      <c r="BQ5" s="66">
        <f>D5+K5+R5+Y5+AG5+AO5+AV5+BC5+BJ5</f>
        <v>237</v>
      </c>
      <c r="BR5" s="66">
        <f>E5+L5+S5+Z5+AH5+AP5+AW5+BD5+BK5</f>
        <v>354</v>
      </c>
      <c r="BS5" s="132">
        <f>SUM(BO5:BR5)</f>
        <v>1379</v>
      </c>
      <c r="BT5" s="149">
        <f>H5+O5+V5+AC5+AK5+AS5+AZ5+BG5+BN5</f>
        <v>275800</v>
      </c>
    </row>
    <row r="6" spans="1:72" x14ac:dyDescent="0.2">
      <c r="A6" t="s">
        <v>89</v>
      </c>
      <c r="B6" s="24"/>
      <c r="C6" s="66"/>
      <c r="D6" s="66"/>
      <c r="E6" s="66"/>
      <c r="F6" s="132"/>
      <c r="G6" s="66"/>
      <c r="H6" s="153"/>
      <c r="I6" s="24"/>
      <c r="J6" s="66"/>
      <c r="K6" s="66"/>
      <c r="L6" s="66"/>
      <c r="M6" s="132">
        <f t="shared" ref="M6:M26" si="0">SUM(I6:L6)</f>
        <v>0</v>
      </c>
      <c r="N6" s="66"/>
      <c r="O6" s="153">
        <f t="shared" ref="O6:O25" si="1">M6*N6</f>
        <v>0</v>
      </c>
      <c r="P6" s="24"/>
      <c r="Q6" s="66"/>
      <c r="R6" s="66"/>
      <c r="S6" s="66"/>
      <c r="T6" s="132">
        <f t="shared" ref="T6:T26" si="2">SUM(P6:S6)</f>
        <v>0</v>
      </c>
      <c r="U6" s="303"/>
      <c r="V6" s="208">
        <f t="shared" ref="V6:V25" si="3">T6*U6</f>
        <v>0</v>
      </c>
      <c r="W6" s="24"/>
      <c r="X6" s="66"/>
      <c r="Y6" s="66"/>
      <c r="Z6" s="66"/>
      <c r="AA6" s="132">
        <f t="shared" ref="AA6:AA26" si="4">SUM(W6:Z6)</f>
        <v>0</v>
      </c>
      <c r="AB6" s="303"/>
      <c r="AC6" s="153">
        <f t="shared" ref="AC6:AC25" si="5">AA6*AB6</f>
        <v>0</v>
      </c>
      <c r="AD6" s="294"/>
      <c r="AE6" s="290"/>
      <c r="AF6" s="66"/>
      <c r="AG6" s="66"/>
      <c r="AH6" s="66"/>
      <c r="AI6" s="132">
        <f t="shared" ref="AI6:AI25" si="6">SUM(AE6:AH6)</f>
        <v>0</v>
      </c>
      <c r="AJ6" s="25"/>
      <c r="AK6" s="153">
        <f t="shared" ref="AK6:AK25" si="7">AI6*AJ6</f>
        <v>0</v>
      </c>
      <c r="AL6" s="294"/>
      <c r="AM6" s="24">
        <v>15</v>
      </c>
      <c r="AN6" s="66"/>
      <c r="AO6" s="66">
        <v>48</v>
      </c>
      <c r="AP6" s="66"/>
      <c r="AQ6" s="132">
        <f t="shared" ref="AQ6:AQ26" si="8">SUM(AM6:AP6)</f>
        <v>63</v>
      </c>
      <c r="AR6" s="304">
        <v>200</v>
      </c>
      <c r="AS6" s="153">
        <f t="shared" ref="AS6:AS25" si="9">AQ6*AR6</f>
        <v>12600</v>
      </c>
      <c r="AT6" s="24"/>
      <c r="AU6" s="66"/>
      <c r="AV6" s="66"/>
      <c r="AW6" s="66"/>
      <c r="AX6" s="132">
        <f t="shared" ref="AX6:AX26" si="10">SUM(AT6:AW6)</f>
        <v>0</v>
      </c>
      <c r="AY6" s="303"/>
      <c r="AZ6" s="153">
        <f t="shared" ref="AZ6:AZ25" si="11">AX6*AY6</f>
        <v>0</v>
      </c>
      <c r="BA6" s="66"/>
      <c r="BB6" s="66"/>
      <c r="BC6" s="66"/>
      <c r="BD6" s="66"/>
      <c r="BE6" s="132">
        <f t="shared" ref="BE6:BE26" si="12">SUM(BA6:BD6)</f>
        <v>0</v>
      </c>
      <c r="BF6" s="25"/>
      <c r="BG6" s="151">
        <f t="shared" ref="BG6:BG25" si="13">BE6*BF6</f>
        <v>0</v>
      </c>
      <c r="BH6" s="24"/>
      <c r="BI6" s="66"/>
      <c r="BJ6" s="66"/>
      <c r="BK6" s="66"/>
      <c r="BL6" s="132">
        <f t="shared" ref="BL6:BL26" si="14">SUM(BH6:BK6)</f>
        <v>0</v>
      </c>
      <c r="BM6" s="25"/>
      <c r="BN6" s="151">
        <f t="shared" ref="BN6:BN25" si="15">BL6*BM6</f>
        <v>0</v>
      </c>
      <c r="BO6" s="236">
        <f>B6+I6+P6+W6+AE6+AM6+AT6+BA6+BH6</f>
        <v>15</v>
      </c>
      <c r="BP6" s="66">
        <f t="shared" ref="BP6:BP25" si="16">C6+J6+Q6+X6+AF6+AN6+AU6+BB6+BI6</f>
        <v>0</v>
      </c>
      <c r="BQ6" s="66">
        <f t="shared" ref="BQ6:BQ25" si="17">D6+K6+R6+Y6+AG6+AO6+AV6+BC6+BJ6</f>
        <v>48</v>
      </c>
      <c r="BR6" s="66">
        <f t="shared" ref="BR6:BR25" si="18">E6+L6+S6+Z6+AH6+AP6+AW6+BD6+BK6</f>
        <v>0</v>
      </c>
      <c r="BS6" s="132">
        <f t="shared" ref="BS6:BS26" si="19">SUM(BO6:BR6)</f>
        <v>63</v>
      </c>
      <c r="BT6" s="149">
        <f t="shared" ref="BT6:BT25" si="20">H6+O6+V6+AC6+AK6+AS6+AZ6+BG6+BN6</f>
        <v>12600</v>
      </c>
    </row>
    <row r="7" spans="1:72" x14ac:dyDescent="0.2">
      <c r="A7" t="s">
        <v>72</v>
      </c>
      <c r="B7" s="24"/>
      <c r="C7" s="66"/>
      <c r="D7" s="66"/>
      <c r="E7" s="66"/>
      <c r="F7" s="132"/>
      <c r="G7" s="66"/>
      <c r="H7" s="153"/>
      <c r="I7" s="24">
        <v>6</v>
      </c>
      <c r="J7" s="66"/>
      <c r="K7" s="66"/>
      <c r="L7" s="66"/>
      <c r="M7" s="132">
        <f t="shared" si="0"/>
        <v>6</v>
      </c>
      <c r="N7" s="66"/>
      <c r="O7" s="153">
        <f t="shared" si="1"/>
        <v>0</v>
      </c>
      <c r="P7" s="24"/>
      <c r="Q7" s="66">
        <v>1</v>
      </c>
      <c r="R7" s="66"/>
      <c r="S7" s="66"/>
      <c r="T7" s="132">
        <f t="shared" si="2"/>
        <v>1</v>
      </c>
      <c r="U7" s="303"/>
      <c r="V7" s="208">
        <f t="shared" si="3"/>
        <v>0</v>
      </c>
      <c r="W7" s="24"/>
      <c r="X7" s="66"/>
      <c r="Y7" s="66"/>
      <c r="Z7" s="66"/>
      <c r="AA7" s="132">
        <f t="shared" si="4"/>
        <v>0</v>
      </c>
      <c r="AB7" s="303"/>
      <c r="AC7" s="153">
        <f t="shared" si="5"/>
        <v>0</v>
      </c>
      <c r="AD7" s="294"/>
      <c r="AE7" s="290"/>
      <c r="AF7" s="66"/>
      <c r="AG7" s="66"/>
      <c r="AH7" s="66"/>
      <c r="AI7" s="132">
        <f t="shared" si="6"/>
        <v>0</v>
      </c>
      <c r="AJ7" s="25"/>
      <c r="AK7" s="153">
        <f t="shared" si="7"/>
        <v>0</v>
      </c>
      <c r="AL7" s="294"/>
      <c r="AM7" s="24"/>
      <c r="AN7" s="66"/>
      <c r="AO7" s="66"/>
      <c r="AP7" s="66"/>
      <c r="AQ7" s="132">
        <f t="shared" si="8"/>
        <v>0</v>
      </c>
      <c r="AR7" s="25"/>
      <c r="AS7" s="153">
        <f t="shared" si="9"/>
        <v>0</v>
      </c>
      <c r="AT7" s="24"/>
      <c r="AU7" s="66"/>
      <c r="AV7" s="66"/>
      <c r="AW7" s="66"/>
      <c r="AX7" s="132">
        <f t="shared" si="10"/>
        <v>0</v>
      </c>
      <c r="AY7" s="303"/>
      <c r="AZ7" s="153">
        <f t="shared" si="11"/>
        <v>0</v>
      </c>
      <c r="BA7" s="66"/>
      <c r="BB7" s="66"/>
      <c r="BC7" s="66"/>
      <c r="BD7" s="66"/>
      <c r="BE7" s="132">
        <f t="shared" si="12"/>
        <v>0</v>
      </c>
      <c r="BF7" s="25"/>
      <c r="BG7" s="151">
        <f t="shared" si="13"/>
        <v>0</v>
      </c>
      <c r="BH7" s="24"/>
      <c r="BI7" s="66"/>
      <c r="BJ7" s="66"/>
      <c r="BK7" s="66"/>
      <c r="BL7" s="132">
        <f t="shared" si="14"/>
        <v>0</v>
      </c>
      <c r="BM7" s="25"/>
      <c r="BN7" s="151">
        <f t="shared" si="15"/>
        <v>0</v>
      </c>
      <c r="BO7" s="236">
        <f t="shared" ref="BO7:BO25" si="21">B7+I7+P7+W7+AE7+AM7+AT7+BA7+BH7</f>
        <v>6</v>
      </c>
      <c r="BP7" s="66">
        <f t="shared" si="16"/>
        <v>1</v>
      </c>
      <c r="BQ7" s="66">
        <f t="shared" si="17"/>
        <v>0</v>
      </c>
      <c r="BR7" s="66">
        <f t="shared" si="18"/>
        <v>0</v>
      </c>
      <c r="BS7" s="132">
        <f t="shared" si="19"/>
        <v>7</v>
      </c>
      <c r="BT7" s="149">
        <f t="shared" si="20"/>
        <v>0</v>
      </c>
    </row>
    <row r="8" spans="1:72" x14ac:dyDescent="0.2">
      <c r="A8" t="s">
        <v>73</v>
      </c>
      <c r="B8" s="24"/>
      <c r="C8" s="66"/>
      <c r="D8" s="66"/>
      <c r="E8" s="66"/>
      <c r="F8" s="132"/>
      <c r="G8" s="66"/>
      <c r="H8" s="153"/>
      <c r="I8" s="24"/>
      <c r="J8" s="66"/>
      <c r="K8" s="66"/>
      <c r="L8" s="66"/>
      <c r="M8" s="132">
        <f t="shared" si="0"/>
        <v>0</v>
      </c>
      <c r="N8" s="66"/>
      <c r="O8" s="153">
        <f t="shared" si="1"/>
        <v>0</v>
      </c>
      <c r="P8" s="24"/>
      <c r="Q8" s="66"/>
      <c r="R8" s="66"/>
      <c r="S8" s="66"/>
      <c r="T8" s="132">
        <f t="shared" si="2"/>
        <v>0</v>
      </c>
      <c r="U8" s="303"/>
      <c r="V8" s="208">
        <f t="shared" si="3"/>
        <v>0</v>
      </c>
      <c r="W8" s="24"/>
      <c r="X8" s="66"/>
      <c r="Y8" s="66"/>
      <c r="Z8" s="66"/>
      <c r="AA8" s="132">
        <f t="shared" si="4"/>
        <v>0</v>
      </c>
      <c r="AB8" s="303"/>
      <c r="AC8" s="153">
        <f t="shared" si="5"/>
        <v>0</v>
      </c>
      <c r="AD8" s="294"/>
      <c r="AE8" s="290"/>
      <c r="AF8" s="66"/>
      <c r="AG8" s="66"/>
      <c r="AH8" s="66"/>
      <c r="AI8" s="132">
        <f t="shared" si="6"/>
        <v>0</v>
      </c>
      <c r="AJ8" s="25"/>
      <c r="AK8" s="153">
        <f t="shared" si="7"/>
        <v>0</v>
      </c>
      <c r="AL8" s="294"/>
      <c r="AM8" s="24"/>
      <c r="AN8" s="66"/>
      <c r="AO8" s="66"/>
      <c r="AP8" s="66"/>
      <c r="AQ8" s="132">
        <f t="shared" si="8"/>
        <v>0</v>
      </c>
      <c r="AR8" s="25"/>
      <c r="AS8" s="153">
        <f t="shared" si="9"/>
        <v>0</v>
      </c>
      <c r="AT8" s="24"/>
      <c r="AU8" s="66"/>
      <c r="AV8" s="66"/>
      <c r="AW8" s="66"/>
      <c r="AX8" s="132">
        <f t="shared" si="10"/>
        <v>0</v>
      </c>
      <c r="AY8" s="303"/>
      <c r="AZ8" s="153">
        <f t="shared" si="11"/>
        <v>0</v>
      </c>
      <c r="BA8" s="66"/>
      <c r="BB8" s="66"/>
      <c r="BC8" s="66"/>
      <c r="BD8" s="66"/>
      <c r="BE8" s="132">
        <f t="shared" si="12"/>
        <v>0</v>
      </c>
      <c r="BF8" s="25"/>
      <c r="BG8" s="151">
        <f t="shared" si="13"/>
        <v>0</v>
      </c>
      <c r="BH8" s="24"/>
      <c r="BI8" s="66"/>
      <c r="BJ8" s="66"/>
      <c r="BK8" s="66"/>
      <c r="BL8" s="132">
        <f t="shared" si="14"/>
        <v>0</v>
      </c>
      <c r="BM8" s="25"/>
      <c r="BN8" s="151">
        <f t="shared" si="15"/>
        <v>0</v>
      </c>
      <c r="BO8" s="236">
        <f t="shared" si="21"/>
        <v>0</v>
      </c>
      <c r="BP8" s="66">
        <f t="shared" si="16"/>
        <v>0</v>
      </c>
      <c r="BQ8" s="66">
        <f t="shared" si="17"/>
        <v>0</v>
      </c>
      <c r="BR8" s="66">
        <f t="shared" si="18"/>
        <v>0</v>
      </c>
      <c r="BS8" s="132">
        <f t="shared" si="19"/>
        <v>0</v>
      </c>
      <c r="BT8" s="149">
        <f t="shared" si="20"/>
        <v>0</v>
      </c>
    </row>
    <row r="9" spans="1:72" x14ac:dyDescent="0.2">
      <c r="A9" t="s">
        <v>74</v>
      </c>
      <c r="B9" s="24"/>
      <c r="C9" s="66"/>
      <c r="D9" s="66"/>
      <c r="E9" s="66"/>
      <c r="F9" s="132"/>
      <c r="G9" s="66"/>
      <c r="H9" s="153"/>
      <c r="I9" s="24"/>
      <c r="J9" s="66"/>
      <c r="K9" s="66"/>
      <c r="L9" s="66"/>
      <c r="M9" s="132">
        <f t="shared" si="0"/>
        <v>0</v>
      </c>
      <c r="N9" s="66"/>
      <c r="O9" s="153">
        <f t="shared" si="1"/>
        <v>0</v>
      </c>
      <c r="P9" s="24"/>
      <c r="Q9" s="66"/>
      <c r="R9" s="66"/>
      <c r="S9" s="66"/>
      <c r="T9" s="132">
        <f t="shared" si="2"/>
        <v>0</v>
      </c>
      <c r="U9" s="303"/>
      <c r="V9" s="208">
        <f t="shared" si="3"/>
        <v>0</v>
      </c>
      <c r="W9" s="24"/>
      <c r="X9" s="66"/>
      <c r="Y9" s="66"/>
      <c r="Z9" s="66"/>
      <c r="AA9" s="132">
        <f t="shared" si="4"/>
        <v>0</v>
      </c>
      <c r="AB9" s="303"/>
      <c r="AC9" s="153">
        <f t="shared" si="5"/>
        <v>0</v>
      </c>
      <c r="AD9" s="294"/>
      <c r="AE9" s="290"/>
      <c r="AF9" s="66"/>
      <c r="AG9" s="66"/>
      <c r="AH9" s="66"/>
      <c r="AI9" s="132">
        <f t="shared" si="6"/>
        <v>0</v>
      </c>
      <c r="AJ9" s="25"/>
      <c r="AK9" s="153">
        <f t="shared" si="7"/>
        <v>0</v>
      </c>
      <c r="AL9" s="294"/>
      <c r="AM9" s="24"/>
      <c r="AN9" s="66"/>
      <c r="AO9" s="66"/>
      <c r="AP9" s="66"/>
      <c r="AQ9" s="132">
        <f t="shared" si="8"/>
        <v>0</v>
      </c>
      <c r="AR9" s="25"/>
      <c r="AS9" s="153">
        <f t="shared" si="9"/>
        <v>0</v>
      </c>
      <c r="AT9" s="24"/>
      <c r="AU9" s="66"/>
      <c r="AV9" s="66"/>
      <c r="AW9" s="66"/>
      <c r="AX9" s="132">
        <f t="shared" si="10"/>
        <v>0</v>
      </c>
      <c r="AY9" s="303"/>
      <c r="AZ9" s="153">
        <f t="shared" si="11"/>
        <v>0</v>
      </c>
      <c r="BA9" s="66"/>
      <c r="BB9" s="66"/>
      <c r="BC9" s="66"/>
      <c r="BD9" s="66"/>
      <c r="BE9" s="132">
        <f t="shared" si="12"/>
        <v>0</v>
      </c>
      <c r="BF9" s="25"/>
      <c r="BG9" s="151">
        <f t="shared" si="13"/>
        <v>0</v>
      </c>
      <c r="BH9" s="24"/>
      <c r="BI9" s="66"/>
      <c r="BJ9" s="66"/>
      <c r="BK9" s="66"/>
      <c r="BL9" s="132">
        <f t="shared" si="14"/>
        <v>0</v>
      </c>
      <c r="BM9" s="25"/>
      <c r="BN9" s="151">
        <f t="shared" si="15"/>
        <v>0</v>
      </c>
      <c r="BO9" s="236">
        <f t="shared" si="21"/>
        <v>0</v>
      </c>
      <c r="BP9" s="66">
        <f t="shared" si="16"/>
        <v>0</v>
      </c>
      <c r="BQ9" s="66">
        <f t="shared" si="17"/>
        <v>0</v>
      </c>
      <c r="BR9" s="66">
        <f t="shared" si="18"/>
        <v>0</v>
      </c>
      <c r="BS9" s="132">
        <f t="shared" si="19"/>
        <v>0</v>
      </c>
      <c r="BT9" s="149">
        <f t="shared" si="20"/>
        <v>0</v>
      </c>
    </row>
    <row r="10" spans="1:72" x14ac:dyDescent="0.2">
      <c r="A10" t="s">
        <v>75</v>
      </c>
      <c r="B10" s="24"/>
      <c r="C10" s="66"/>
      <c r="D10" s="66"/>
      <c r="E10" s="66"/>
      <c r="F10" s="132"/>
      <c r="G10" s="66"/>
      <c r="H10" s="153"/>
      <c r="I10" s="24"/>
      <c r="J10" s="66"/>
      <c r="K10" s="66"/>
      <c r="L10" s="66"/>
      <c r="M10" s="132">
        <f t="shared" si="0"/>
        <v>0</v>
      </c>
      <c r="N10" s="66"/>
      <c r="O10" s="153">
        <f t="shared" si="1"/>
        <v>0</v>
      </c>
      <c r="P10" s="24"/>
      <c r="Q10" s="66"/>
      <c r="R10" s="66"/>
      <c r="S10" s="66"/>
      <c r="T10" s="132">
        <f t="shared" si="2"/>
        <v>0</v>
      </c>
      <c r="U10" s="303"/>
      <c r="V10" s="208">
        <f t="shared" si="3"/>
        <v>0</v>
      </c>
      <c r="W10" s="24"/>
      <c r="X10" s="66"/>
      <c r="Y10" s="66"/>
      <c r="Z10" s="66"/>
      <c r="AA10" s="132">
        <f t="shared" si="4"/>
        <v>0</v>
      </c>
      <c r="AB10" s="303"/>
      <c r="AC10" s="153">
        <f t="shared" si="5"/>
        <v>0</v>
      </c>
      <c r="AD10" s="294"/>
      <c r="AE10" s="290"/>
      <c r="AF10" s="66"/>
      <c r="AG10" s="66"/>
      <c r="AH10" s="66"/>
      <c r="AI10" s="132">
        <f t="shared" si="6"/>
        <v>0</v>
      </c>
      <c r="AJ10" s="25"/>
      <c r="AK10" s="153">
        <f t="shared" si="7"/>
        <v>0</v>
      </c>
      <c r="AL10" s="294"/>
      <c r="AM10" s="24"/>
      <c r="AN10" s="66"/>
      <c r="AO10" s="66"/>
      <c r="AP10" s="66"/>
      <c r="AQ10" s="132">
        <f t="shared" si="8"/>
        <v>0</v>
      </c>
      <c r="AR10" s="25"/>
      <c r="AS10" s="153">
        <f t="shared" si="9"/>
        <v>0</v>
      </c>
      <c r="AT10" s="24"/>
      <c r="AU10" s="66"/>
      <c r="AV10" s="66"/>
      <c r="AW10" s="66"/>
      <c r="AX10" s="132">
        <f t="shared" si="10"/>
        <v>0</v>
      </c>
      <c r="AY10" s="303"/>
      <c r="AZ10" s="153">
        <f t="shared" si="11"/>
        <v>0</v>
      </c>
      <c r="BA10" s="66"/>
      <c r="BB10" s="66"/>
      <c r="BC10" s="66"/>
      <c r="BD10" s="66"/>
      <c r="BE10" s="132">
        <f t="shared" si="12"/>
        <v>0</v>
      </c>
      <c r="BF10" s="25"/>
      <c r="BG10" s="151">
        <f t="shared" si="13"/>
        <v>0</v>
      </c>
      <c r="BH10" s="24"/>
      <c r="BI10" s="66"/>
      <c r="BJ10" s="66"/>
      <c r="BK10" s="66"/>
      <c r="BL10" s="132">
        <f t="shared" si="14"/>
        <v>0</v>
      </c>
      <c r="BM10" s="25"/>
      <c r="BN10" s="151">
        <f t="shared" si="15"/>
        <v>0</v>
      </c>
      <c r="BO10" s="236">
        <f t="shared" si="21"/>
        <v>0</v>
      </c>
      <c r="BP10" s="66">
        <f t="shared" si="16"/>
        <v>0</v>
      </c>
      <c r="BQ10" s="66">
        <f t="shared" si="17"/>
        <v>0</v>
      </c>
      <c r="BR10" s="66">
        <f t="shared" si="18"/>
        <v>0</v>
      </c>
      <c r="BS10" s="132">
        <f t="shared" si="19"/>
        <v>0</v>
      </c>
      <c r="BT10" s="149">
        <f t="shared" si="20"/>
        <v>0</v>
      </c>
    </row>
    <row r="11" spans="1:72" x14ac:dyDescent="0.2">
      <c r="A11" t="s">
        <v>76</v>
      </c>
      <c r="B11" s="24"/>
      <c r="C11" s="66"/>
      <c r="D11" s="66"/>
      <c r="E11" s="66"/>
      <c r="F11" s="132"/>
      <c r="G11" s="66"/>
      <c r="H11" s="153"/>
      <c r="I11" s="24"/>
      <c r="J11" s="66"/>
      <c r="K11" s="66"/>
      <c r="L11" s="66"/>
      <c r="M11" s="132">
        <f t="shared" si="0"/>
        <v>0</v>
      </c>
      <c r="N11" s="66"/>
      <c r="O11" s="153">
        <f t="shared" si="1"/>
        <v>0</v>
      </c>
      <c r="P11" s="24"/>
      <c r="Q11" s="66"/>
      <c r="R11" s="66"/>
      <c r="S11" s="66">
        <v>1</v>
      </c>
      <c r="T11" s="132">
        <f t="shared" si="2"/>
        <v>1</v>
      </c>
      <c r="U11" s="303"/>
      <c r="V11" s="208">
        <f t="shared" si="3"/>
        <v>0</v>
      </c>
      <c r="W11" s="24"/>
      <c r="X11" s="66"/>
      <c r="Y11" s="66"/>
      <c r="Z11" s="66"/>
      <c r="AA11" s="132">
        <f t="shared" si="4"/>
        <v>0</v>
      </c>
      <c r="AB11" s="303"/>
      <c r="AC11" s="153">
        <f t="shared" si="5"/>
        <v>0</v>
      </c>
      <c r="AD11" s="294"/>
      <c r="AE11" s="290"/>
      <c r="AF11" s="66"/>
      <c r="AG11" s="66"/>
      <c r="AH11" s="66"/>
      <c r="AI11" s="132">
        <f t="shared" si="6"/>
        <v>0</v>
      </c>
      <c r="AJ11" s="25"/>
      <c r="AK11" s="153">
        <f t="shared" si="7"/>
        <v>0</v>
      </c>
      <c r="AL11" s="294"/>
      <c r="AM11" s="24"/>
      <c r="AN11" s="66"/>
      <c r="AO11" s="66"/>
      <c r="AP11" s="66"/>
      <c r="AQ11" s="132">
        <f t="shared" si="8"/>
        <v>0</v>
      </c>
      <c r="AR11" s="25"/>
      <c r="AS11" s="153">
        <f t="shared" si="9"/>
        <v>0</v>
      </c>
      <c r="AT11" s="24"/>
      <c r="AU11" s="66"/>
      <c r="AV11" s="66"/>
      <c r="AW11" s="66"/>
      <c r="AX11" s="132">
        <f t="shared" si="10"/>
        <v>0</v>
      </c>
      <c r="AY11" s="303"/>
      <c r="AZ11" s="153">
        <f t="shared" si="11"/>
        <v>0</v>
      </c>
      <c r="BA11" s="66"/>
      <c r="BB11" s="66"/>
      <c r="BC11" s="66"/>
      <c r="BD11" s="66"/>
      <c r="BE11" s="132">
        <f t="shared" si="12"/>
        <v>0</v>
      </c>
      <c r="BF11" s="25"/>
      <c r="BG11" s="151">
        <f t="shared" si="13"/>
        <v>0</v>
      </c>
      <c r="BH11" s="24"/>
      <c r="BI11" s="66"/>
      <c r="BJ11" s="66"/>
      <c r="BK11" s="66"/>
      <c r="BL11" s="132">
        <f t="shared" si="14"/>
        <v>0</v>
      </c>
      <c r="BM11" s="25"/>
      <c r="BN11" s="151">
        <f t="shared" si="15"/>
        <v>0</v>
      </c>
      <c r="BO11" s="236">
        <f t="shared" si="21"/>
        <v>0</v>
      </c>
      <c r="BP11" s="66">
        <f t="shared" si="16"/>
        <v>0</v>
      </c>
      <c r="BQ11" s="66">
        <f t="shared" si="17"/>
        <v>0</v>
      </c>
      <c r="BR11" s="66">
        <f t="shared" si="18"/>
        <v>1</v>
      </c>
      <c r="BS11" s="132">
        <f t="shared" si="19"/>
        <v>1</v>
      </c>
      <c r="BT11" s="149">
        <f t="shared" si="20"/>
        <v>0</v>
      </c>
    </row>
    <row r="12" spans="1:72" x14ac:dyDescent="0.2">
      <c r="A12" t="s">
        <v>82</v>
      </c>
      <c r="B12" s="24"/>
      <c r="C12" s="66"/>
      <c r="D12" s="66"/>
      <c r="E12" s="66"/>
      <c r="F12" s="132"/>
      <c r="G12" s="66"/>
      <c r="H12" s="153"/>
      <c r="I12" s="24"/>
      <c r="J12" s="66"/>
      <c r="K12" s="66"/>
      <c r="L12" s="66"/>
      <c r="M12" s="132">
        <f t="shared" si="0"/>
        <v>0</v>
      </c>
      <c r="N12" s="66"/>
      <c r="O12" s="153">
        <f t="shared" si="1"/>
        <v>0</v>
      </c>
      <c r="P12" s="24"/>
      <c r="Q12" s="66"/>
      <c r="R12" s="66"/>
      <c r="S12" s="66"/>
      <c r="T12" s="132">
        <f t="shared" si="2"/>
        <v>0</v>
      </c>
      <c r="U12" s="303"/>
      <c r="V12" s="208">
        <f t="shared" si="3"/>
        <v>0</v>
      </c>
      <c r="W12" s="24"/>
      <c r="X12" s="66"/>
      <c r="Y12" s="66"/>
      <c r="Z12" s="66"/>
      <c r="AA12" s="132">
        <f t="shared" si="4"/>
        <v>0</v>
      </c>
      <c r="AB12" s="303"/>
      <c r="AC12" s="153">
        <f t="shared" si="5"/>
        <v>0</v>
      </c>
      <c r="AD12" s="294"/>
      <c r="AE12" s="290"/>
      <c r="AF12" s="66"/>
      <c r="AG12" s="66"/>
      <c r="AH12" s="66"/>
      <c r="AI12" s="132">
        <f t="shared" si="6"/>
        <v>0</v>
      </c>
      <c r="AJ12" s="25"/>
      <c r="AK12" s="153">
        <f t="shared" si="7"/>
        <v>0</v>
      </c>
      <c r="AL12" s="294"/>
      <c r="AM12" s="24"/>
      <c r="AN12" s="66"/>
      <c r="AO12" s="66"/>
      <c r="AP12" s="66"/>
      <c r="AQ12" s="132">
        <f t="shared" si="8"/>
        <v>0</v>
      </c>
      <c r="AR12" s="25"/>
      <c r="AS12" s="153">
        <f t="shared" si="9"/>
        <v>0</v>
      </c>
      <c r="AT12" s="24"/>
      <c r="AU12" s="66"/>
      <c r="AV12" s="66"/>
      <c r="AW12" s="66"/>
      <c r="AX12" s="132">
        <f t="shared" si="10"/>
        <v>0</v>
      </c>
      <c r="AY12" s="303"/>
      <c r="AZ12" s="153">
        <f t="shared" si="11"/>
        <v>0</v>
      </c>
      <c r="BA12" s="66"/>
      <c r="BB12" s="66"/>
      <c r="BC12" s="66"/>
      <c r="BD12" s="66"/>
      <c r="BE12" s="132">
        <f t="shared" si="12"/>
        <v>0</v>
      </c>
      <c r="BF12" s="25"/>
      <c r="BG12" s="151">
        <f t="shared" si="13"/>
        <v>0</v>
      </c>
      <c r="BH12" s="24"/>
      <c r="BI12" s="66"/>
      <c r="BJ12" s="66"/>
      <c r="BK12" s="66"/>
      <c r="BL12" s="132">
        <f t="shared" si="14"/>
        <v>0</v>
      </c>
      <c r="BM12" s="25"/>
      <c r="BN12" s="151">
        <f t="shared" si="15"/>
        <v>0</v>
      </c>
      <c r="BO12" s="236">
        <f t="shared" si="21"/>
        <v>0</v>
      </c>
      <c r="BP12" s="66">
        <f t="shared" si="16"/>
        <v>0</v>
      </c>
      <c r="BQ12" s="66">
        <f t="shared" si="17"/>
        <v>0</v>
      </c>
      <c r="BR12" s="66">
        <f t="shared" si="18"/>
        <v>0</v>
      </c>
      <c r="BS12" s="132">
        <f t="shared" si="19"/>
        <v>0</v>
      </c>
      <c r="BT12" s="149">
        <f t="shared" si="20"/>
        <v>0</v>
      </c>
    </row>
    <row r="13" spans="1:72" x14ac:dyDescent="0.2">
      <c r="A13" t="s">
        <v>83</v>
      </c>
      <c r="B13" s="24"/>
      <c r="C13" s="66"/>
      <c r="D13" s="66"/>
      <c r="E13" s="66"/>
      <c r="F13" s="132"/>
      <c r="G13" s="66"/>
      <c r="H13" s="153"/>
      <c r="I13" s="24"/>
      <c r="J13" s="66"/>
      <c r="K13" s="66"/>
      <c r="L13" s="66"/>
      <c r="M13" s="132">
        <f t="shared" si="0"/>
        <v>0</v>
      </c>
      <c r="N13" s="66"/>
      <c r="O13" s="153">
        <f t="shared" si="1"/>
        <v>0</v>
      </c>
      <c r="P13" s="24"/>
      <c r="Q13" s="66"/>
      <c r="R13" s="66"/>
      <c r="S13" s="66"/>
      <c r="T13" s="132">
        <f t="shared" si="2"/>
        <v>0</v>
      </c>
      <c r="U13" s="303"/>
      <c r="V13" s="208">
        <f t="shared" si="3"/>
        <v>0</v>
      </c>
      <c r="W13" s="24"/>
      <c r="X13" s="66"/>
      <c r="Y13" s="66"/>
      <c r="Z13" s="66"/>
      <c r="AA13" s="132">
        <f t="shared" si="4"/>
        <v>0</v>
      </c>
      <c r="AB13" s="303"/>
      <c r="AC13" s="153">
        <f t="shared" si="5"/>
        <v>0</v>
      </c>
      <c r="AD13" s="294"/>
      <c r="AE13" s="290"/>
      <c r="AF13" s="66"/>
      <c r="AG13" s="66"/>
      <c r="AH13" s="66"/>
      <c r="AI13" s="132">
        <f t="shared" si="6"/>
        <v>0</v>
      </c>
      <c r="AJ13" s="25"/>
      <c r="AK13" s="153">
        <f t="shared" si="7"/>
        <v>0</v>
      </c>
      <c r="AL13" s="294"/>
      <c r="AM13" s="24"/>
      <c r="AN13" s="66"/>
      <c r="AO13" s="66"/>
      <c r="AP13" s="66"/>
      <c r="AQ13" s="132">
        <f t="shared" si="8"/>
        <v>0</v>
      </c>
      <c r="AR13" s="25"/>
      <c r="AS13" s="153">
        <f t="shared" si="9"/>
        <v>0</v>
      </c>
      <c r="AT13" s="24"/>
      <c r="AU13" s="66"/>
      <c r="AV13" s="66"/>
      <c r="AW13" s="66"/>
      <c r="AX13" s="132">
        <f t="shared" si="10"/>
        <v>0</v>
      </c>
      <c r="AY13" s="303"/>
      <c r="AZ13" s="153">
        <f t="shared" si="11"/>
        <v>0</v>
      </c>
      <c r="BA13" s="66"/>
      <c r="BB13" s="66"/>
      <c r="BC13" s="66"/>
      <c r="BD13" s="66"/>
      <c r="BE13" s="132">
        <f t="shared" si="12"/>
        <v>0</v>
      </c>
      <c r="BF13" s="25"/>
      <c r="BG13" s="151">
        <f t="shared" si="13"/>
        <v>0</v>
      </c>
      <c r="BH13" s="24"/>
      <c r="BI13" s="66"/>
      <c r="BJ13" s="66"/>
      <c r="BK13" s="66"/>
      <c r="BL13" s="132">
        <f t="shared" si="14"/>
        <v>0</v>
      </c>
      <c r="BM13" s="25"/>
      <c r="BN13" s="151">
        <f t="shared" si="15"/>
        <v>0</v>
      </c>
      <c r="BO13" s="236">
        <f t="shared" si="21"/>
        <v>0</v>
      </c>
      <c r="BP13" s="66">
        <f t="shared" si="16"/>
        <v>0</v>
      </c>
      <c r="BQ13" s="66">
        <f t="shared" si="17"/>
        <v>0</v>
      </c>
      <c r="BR13" s="66">
        <f t="shared" si="18"/>
        <v>0</v>
      </c>
      <c r="BS13" s="132">
        <f t="shared" si="19"/>
        <v>0</v>
      </c>
      <c r="BT13" s="149">
        <f t="shared" si="20"/>
        <v>0</v>
      </c>
    </row>
    <row r="14" spans="1:72" x14ac:dyDescent="0.2">
      <c r="A14" t="s">
        <v>110</v>
      </c>
      <c r="B14" s="24"/>
      <c r="C14" s="66"/>
      <c r="D14" s="66"/>
      <c r="E14" s="66"/>
      <c r="F14" s="132"/>
      <c r="G14" s="216"/>
      <c r="H14" s="153"/>
      <c r="I14" s="24">
        <v>222</v>
      </c>
      <c r="J14" s="66">
        <v>254</v>
      </c>
      <c r="K14" s="66">
        <v>119</v>
      </c>
      <c r="L14" s="66">
        <v>141</v>
      </c>
      <c r="M14" s="132">
        <f t="shared" si="0"/>
        <v>736</v>
      </c>
      <c r="N14" s="219">
        <v>495</v>
      </c>
      <c r="O14" s="153">
        <f t="shared" si="1"/>
        <v>364320</v>
      </c>
      <c r="P14" s="24"/>
      <c r="Q14" s="66"/>
      <c r="R14" s="66"/>
      <c r="S14" s="66"/>
      <c r="T14" s="132">
        <f t="shared" si="2"/>
        <v>0</v>
      </c>
      <c r="U14" s="303"/>
      <c r="V14" s="208">
        <f t="shared" si="3"/>
        <v>0</v>
      </c>
      <c r="W14" s="290">
        <v>172</v>
      </c>
      <c r="X14" s="66">
        <v>162</v>
      </c>
      <c r="Y14" s="66">
        <v>243</v>
      </c>
      <c r="Z14" s="66">
        <v>232</v>
      </c>
      <c r="AA14" s="132">
        <f t="shared" si="4"/>
        <v>809</v>
      </c>
      <c r="AB14" s="303"/>
      <c r="AC14" s="153">
        <f t="shared" si="5"/>
        <v>0</v>
      </c>
      <c r="AD14" s="294"/>
      <c r="AE14" s="290">
        <v>193</v>
      </c>
      <c r="AF14" s="66">
        <v>186</v>
      </c>
      <c r="AG14" s="66">
        <v>125</v>
      </c>
      <c r="AH14" s="66">
        <v>139</v>
      </c>
      <c r="AI14" s="132">
        <f t="shared" si="6"/>
        <v>643</v>
      </c>
      <c r="AJ14" s="89"/>
      <c r="AK14" s="153">
        <f t="shared" si="7"/>
        <v>0</v>
      </c>
      <c r="AL14" s="294"/>
      <c r="AM14" s="24">
        <v>107</v>
      </c>
      <c r="AN14" s="66">
        <v>85</v>
      </c>
      <c r="AO14" s="66">
        <v>93</v>
      </c>
      <c r="AP14" s="66">
        <v>78</v>
      </c>
      <c r="AQ14" s="132">
        <f t="shared" si="8"/>
        <v>363</v>
      </c>
      <c r="AR14" s="89"/>
      <c r="AS14" s="153">
        <f t="shared" si="9"/>
        <v>0</v>
      </c>
      <c r="AT14" s="24"/>
      <c r="AU14" s="66"/>
      <c r="AV14" s="66"/>
      <c r="AW14" s="66"/>
      <c r="AX14" s="132">
        <f t="shared" si="10"/>
        <v>0</v>
      </c>
      <c r="AY14" s="303"/>
      <c r="AZ14" s="153">
        <f t="shared" si="11"/>
        <v>0</v>
      </c>
      <c r="BA14" s="24">
        <v>46</v>
      </c>
      <c r="BB14" s="66">
        <v>40</v>
      </c>
      <c r="BC14" s="66">
        <v>24</v>
      </c>
      <c r="BD14" s="66">
        <v>22</v>
      </c>
      <c r="BE14" s="132">
        <f t="shared" si="12"/>
        <v>132</v>
      </c>
      <c r="BF14" s="89"/>
      <c r="BG14" s="151">
        <f t="shared" si="13"/>
        <v>0</v>
      </c>
      <c r="BH14" s="24">
        <v>3</v>
      </c>
      <c r="BI14" s="66">
        <v>2</v>
      </c>
      <c r="BJ14" s="66">
        <v>2</v>
      </c>
      <c r="BK14" s="66">
        <v>0</v>
      </c>
      <c r="BL14" s="132">
        <f t="shared" si="14"/>
        <v>7</v>
      </c>
      <c r="BM14" s="89"/>
      <c r="BN14" s="151">
        <f t="shared" si="15"/>
        <v>0</v>
      </c>
      <c r="BO14" s="236">
        <f t="shared" si="21"/>
        <v>743</v>
      </c>
      <c r="BP14" s="66">
        <f t="shared" si="16"/>
        <v>729</v>
      </c>
      <c r="BQ14" s="66">
        <f>D14+K14+R14+Y14+AG14+AN14+AV14+BC14+BJ14</f>
        <v>598</v>
      </c>
      <c r="BR14" s="66">
        <f t="shared" si="18"/>
        <v>612</v>
      </c>
      <c r="BS14" s="132">
        <f t="shared" si="19"/>
        <v>2682</v>
      </c>
      <c r="BT14" s="149">
        <f t="shared" si="20"/>
        <v>364320</v>
      </c>
    </row>
    <row r="15" spans="1:72" x14ac:dyDescent="0.2">
      <c r="A15" t="s">
        <v>84</v>
      </c>
      <c r="B15" s="24">
        <v>141</v>
      </c>
      <c r="C15" s="215">
        <v>117</v>
      </c>
      <c r="D15" s="66">
        <v>100</v>
      </c>
      <c r="E15" s="66">
        <v>187</v>
      </c>
      <c r="F15" s="132">
        <f>SUM(B15:E15)</f>
        <v>545</v>
      </c>
      <c r="G15" s="303">
        <v>390</v>
      </c>
      <c r="H15" s="153">
        <f>F15*G15</f>
        <v>212550</v>
      </c>
      <c r="I15" s="24">
        <v>492</v>
      </c>
      <c r="J15" s="66">
        <v>372</v>
      </c>
      <c r="K15" s="66">
        <v>347</v>
      </c>
      <c r="L15" s="66">
        <v>428</v>
      </c>
      <c r="M15" s="132">
        <f t="shared" si="0"/>
        <v>1639</v>
      </c>
      <c r="N15" s="303">
        <v>385</v>
      </c>
      <c r="O15" s="153">
        <f t="shared" si="1"/>
        <v>631015</v>
      </c>
      <c r="P15" s="24">
        <v>14</v>
      </c>
      <c r="Q15" s="66">
        <v>14</v>
      </c>
      <c r="R15" s="66">
        <v>8</v>
      </c>
      <c r="S15" s="66">
        <v>13</v>
      </c>
      <c r="T15" s="132">
        <f t="shared" si="2"/>
        <v>49</v>
      </c>
      <c r="U15" s="303">
        <v>420</v>
      </c>
      <c r="V15" s="208">
        <f t="shared" si="3"/>
        <v>20580</v>
      </c>
      <c r="W15" s="290">
        <v>598</v>
      </c>
      <c r="X15" s="66">
        <v>600</v>
      </c>
      <c r="Y15" s="66">
        <v>616</v>
      </c>
      <c r="Z15" s="66">
        <v>680</v>
      </c>
      <c r="AA15" s="132">
        <f t="shared" si="4"/>
        <v>2494</v>
      </c>
      <c r="AB15" s="303">
        <v>350</v>
      </c>
      <c r="AC15" s="153">
        <f t="shared" si="5"/>
        <v>872900</v>
      </c>
      <c r="AD15" s="294"/>
      <c r="AE15" s="290"/>
      <c r="AF15" s="66"/>
      <c r="AG15" s="66">
        <v>29</v>
      </c>
      <c r="AH15" s="66">
        <v>67</v>
      </c>
      <c r="AI15" s="132">
        <f t="shared" si="6"/>
        <v>96</v>
      </c>
      <c r="AJ15" s="304">
        <v>500</v>
      </c>
      <c r="AK15" s="153">
        <f t="shared" si="7"/>
        <v>48000</v>
      </c>
      <c r="AL15" s="294"/>
      <c r="AM15" s="24">
        <v>116</v>
      </c>
      <c r="AN15" s="66">
        <v>255</v>
      </c>
      <c r="AO15" s="66">
        <v>149</v>
      </c>
      <c r="AP15" s="66">
        <v>266</v>
      </c>
      <c r="AQ15" s="132">
        <f t="shared" si="8"/>
        <v>786</v>
      </c>
      <c r="AR15" s="304">
        <v>200</v>
      </c>
      <c r="AS15" s="153">
        <f t="shared" si="9"/>
        <v>157200</v>
      </c>
      <c r="AT15" s="24">
        <v>215</v>
      </c>
      <c r="AU15" s="66">
        <v>316</v>
      </c>
      <c r="AV15" s="66">
        <v>295</v>
      </c>
      <c r="AW15" s="66">
        <v>323</v>
      </c>
      <c r="AX15" s="132">
        <f t="shared" si="10"/>
        <v>1149</v>
      </c>
      <c r="AY15" s="303">
        <v>200</v>
      </c>
      <c r="AZ15" s="153">
        <f t="shared" si="11"/>
        <v>229800</v>
      </c>
      <c r="BA15" s="66">
        <v>8</v>
      </c>
      <c r="BB15" s="66">
        <v>16</v>
      </c>
      <c r="BC15" s="66">
        <v>16</v>
      </c>
      <c r="BD15" s="66">
        <v>18</v>
      </c>
      <c r="BE15" s="132">
        <f t="shared" si="12"/>
        <v>58</v>
      </c>
      <c r="BF15" s="304">
        <v>250</v>
      </c>
      <c r="BG15" s="151">
        <f t="shared" si="13"/>
        <v>14500</v>
      </c>
      <c r="BH15" s="24"/>
      <c r="BI15" s="66">
        <v>2</v>
      </c>
      <c r="BJ15" s="66">
        <v>2</v>
      </c>
      <c r="BK15" s="66">
        <v>0</v>
      </c>
      <c r="BL15" s="132">
        <f t="shared" si="14"/>
        <v>4</v>
      </c>
      <c r="BM15" s="304">
        <v>200</v>
      </c>
      <c r="BN15" s="151">
        <f t="shared" si="15"/>
        <v>800</v>
      </c>
      <c r="BO15" s="236">
        <f t="shared" si="21"/>
        <v>1584</v>
      </c>
      <c r="BP15" s="66">
        <f t="shared" si="16"/>
        <v>1692</v>
      </c>
      <c r="BQ15" s="66">
        <f t="shared" si="17"/>
        <v>1562</v>
      </c>
      <c r="BR15" s="66">
        <f t="shared" si="18"/>
        <v>1982</v>
      </c>
      <c r="BS15" s="132">
        <f t="shared" si="19"/>
        <v>6820</v>
      </c>
      <c r="BT15" s="149">
        <f t="shared" si="20"/>
        <v>2187345</v>
      </c>
    </row>
    <row r="16" spans="1:72" x14ac:dyDescent="0.2">
      <c r="A16" t="s">
        <v>128</v>
      </c>
      <c r="B16" s="24">
        <v>16</v>
      </c>
      <c r="C16" s="215">
        <v>3</v>
      </c>
      <c r="D16" s="66">
        <v>5</v>
      </c>
      <c r="E16" s="66">
        <v>8</v>
      </c>
      <c r="F16" s="132">
        <f>SUM(B16:E16)</f>
        <v>32</v>
      </c>
      <c r="G16" s="303">
        <v>390</v>
      </c>
      <c r="H16" s="153">
        <f>F16*G16</f>
        <v>12480</v>
      </c>
      <c r="I16" s="24">
        <v>116</v>
      </c>
      <c r="J16" s="66">
        <v>75</v>
      </c>
      <c r="K16" s="66">
        <v>97</v>
      </c>
      <c r="L16" s="66">
        <v>104</v>
      </c>
      <c r="M16" s="132">
        <f t="shared" si="0"/>
        <v>392</v>
      </c>
      <c r="N16" s="303">
        <v>200</v>
      </c>
      <c r="O16" s="153">
        <f t="shared" si="1"/>
        <v>78400</v>
      </c>
      <c r="P16" s="24">
        <v>12</v>
      </c>
      <c r="Q16" s="66">
        <v>2</v>
      </c>
      <c r="R16" s="66">
        <v>2</v>
      </c>
      <c r="S16" s="66">
        <v>6</v>
      </c>
      <c r="T16" s="132">
        <f t="shared" si="2"/>
        <v>22</v>
      </c>
      <c r="U16" s="303">
        <v>390</v>
      </c>
      <c r="V16" s="208">
        <f t="shared" si="3"/>
        <v>8580</v>
      </c>
      <c r="W16" s="24"/>
      <c r="X16" s="66"/>
      <c r="Y16" s="66"/>
      <c r="Z16" s="66"/>
      <c r="AA16" s="132">
        <f t="shared" si="4"/>
        <v>0</v>
      </c>
      <c r="AB16" s="215">
        <v>700</v>
      </c>
      <c r="AC16" s="153">
        <f t="shared" si="5"/>
        <v>0</v>
      </c>
      <c r="AD16" s="294"/>
      <c r="AE16" s="290">
        <v>148</v>
      </c>
      <c r="AF16" s="66">
        <v>108</v>
      </c>
      <c r="AG16" s="66">
        <v>109</v>
      </c>
      <c r="AH16" s="66">
        <v>145</v>
      </c>
      <c r="AI16" s="132">
        <f t="shared" si="6"/>
        <v>510</v>
      </c>
      <c r="AJ16" s="303">
        <v>200</v>
      </c>
      <c r="AK16" s="153">
        <f t="shared" si="7"/>
        <v>102000</v>
      </c>
      <c r="AL16" s="294"/>
      <c r="AM16" s="24"/>
      <c r="AN16" s="66"/>
      <c r="AO16" s="66"/>
      <c r="AP16" s="66"/>
      <c r="AQ16" s="132">
        <f t="shared" si="8"/>
        <v>0</v>
      </c>
      <c r="AR16" s="303">
        <v>200</v>
      </c>
      <c r="AS16" s="153">
        <f t="shared" si="9"/>
        <v>0</v>
      </c>
      <c r="AT16" s="24">
        <v>38</v>
      </c>
      <c r="AU16" s="66">
        <v>25</v>
      </c>
      <c r="AV16" s="66">
        <v>23</v>
      </c>
      <c r="AW16" s="66">
        <v>23</v>
      </c>
      <c r="AX16" s="132">
        <f t="shared" si="10"/>
        <v>109</v>
      </c>
      <c r="AY16" s="303">
        <v>50</v>
      </c>
      <c r="AZ16" s="153">
        <f t="shared" si="11"/>
        <v>5450</v>
      </c>
      <c r="BA16" s="66">
        <v>2</v>
      </c>
      <c r="BB16" s="66"/>
      <c r="BC16" s="66"/>
      <c r="BD16" s="66"/>
      <c r="BE16" s="132">
        <f t="shared" si="12"/>
        <v>2</v>
      </c>
      <c r="BF16" s="304">
        <v>250</v>
      </c>
      <c r="BG16" s="151">
        <f t="shared" si="13"/>
        <v>500</v>
      </c>
      <c r="BH16" s="24">
        <v>13</v>
      </c>
      <c r="BI16" s="66">
        <v>5</v>
      </c>
      <c r="BJ16" s="66">
        <v>2</v>
      </c>
      <c r="BK16" s="66">
        <v>7</v>
      </c>
      <c r="BL16" s="132">
        <f t="shared" si="14"/>
        <v>27</v>
      </c>
      <c r="BM16" s="304">
        <v>200</v>
      </c>
      <c r="BN16" s="151">
        <f t="shared" si="15"/>
        <v>5400</v>
      </c>
      <c r="BO16" s="236">
        <f t="shared" si="21"/>
        <v>345</v>
      </c>
      <c r="BP16" s="66">
        <f t="shared" si="16"/>
        <v>218</v>
      </c>
      <c r="BQ16" s="66">
        <f t="shared" si="17"/>
        <v>238</v>
      </c>
      <c r="BR16" s="66">
        <f t="shared" si="18"/>
        <v>293</v>
      </c>
      <c r="BS16" s="132">
        <f t="shared" si="19"/>
        <v>1094</v>
      </c>
      <c r="BT16" s="149">
        <f t="shared" si="20"/>
        <v>212810</v>
      </c>
    </row>
    <row r="17" spans="1:72" x14ac:dyDescent="0.2">
      <c r="A17" t="s">
        <v>85</v>
      </c>
      <c r="B17" s="24"/>
      <c r="C17" s="66"/>
      <c r="D17" s="66"/>
      <c r="E17" s="66"/>
      <c r="F17" s="132"/>
      <c r="G17" s="66"/>
      <c r="H17" s="153"/>
      <c r="I17" s="24">
        <v>1</v>
      </c>
      <c r="J17" s="66"/>
      <c r="K17" s="66"/>
      <c r="L17" s="66"/>
      <c r="M17" s="132">
        <f t="shared" si="0"/>
        <v>1</v>
      </c>
      <c r="N17" s="66"/>
      <c r="O17" s="153">
        <f t="shared" si="1"/>
        <v>0</v>
      </c>
      <c r="P17" s="24"/>
      <c r="Q17" s="66"/>
      <c r="R17" s="66"/>
      <c r="S17" s="66"/>
      <c r="T17" s="132">
        <f t="shared" si="2"/>
        <v>0</v>
      </c>
      <c r="U17" s="303"/>
      <c r="V17" s="208">
        <f t="shared" si="3"/>
        <v>0</v>
      </c>
      <c r="W17" s="290">
        <v>24</v>
      </c>
      <c r="X17" s="66">
        <v>6</v>
      </c>
      <c r="Y17" s="66">
        <v>20</v>
      </c>
      <c r="Z17" s="66">
        <v>21</v>
      </c>
      <c r="AA17" s="132">
        <f t="shared" si="4"/>
        <v>71</v>
      </c>
      <c r="AB17" s="303"/>
      <c r="AC17" s="153">
        <f t="shared" si="5"/>
        <v>0</v>
      </c>
      <c r="AD17" s="294"/>
      <c r="AE17" s="290"/>
      <c r="AF17" s="66"/>
      <c r="AG17" s="66"/>
      <c r="AH17" s="66"/>
      <c r="AI17" s="132">
        <f t="shared" si="6"/>
        <v>0</v>
      </c>
      <c r="AJ17" s="304"/>
      <c r="AK17" s="153">
        <f t="shared" si="7"/>
        <v>0</v>
      </c>
      <c r="AL17" s="294"/>
      <c r="AM17" s="24"/>
      <c r="AN17" s="66"/>
      <c r="AO17" s="66"/>
      <c r="AP17" s="66"/>
      <c r="AQ17" s="132">
        <f t="shared" si="8"/>
        <v>0</v>
      </c>
      <c r="AR17" s="25"/>
      <c r="AS17" s="153">
        <f t="shared" si="9"/>
        <v>0</v>
      </c>
      <c r="AT17" s="24"/>
      <c r="AU17" s="66"/>
      <c r="AV17" s="66"/>
      <c r="AW17" s="66"/>
      <c r="AX17" s="132">
        <f t="shared" si="10"/>
        <v>0</v>
      </c>
      <c r="AY17" s="303"/>
      <c r="AZ17" s="153">
        <f t="shared" si="11"/>
        <v>0</v>
      </c>
      <c r="BA17" s="66"/>
      <c r="BB17" s="66"/>
      <c r="BC17" s="66"/>
      <c r="BD17" s="66"/>
      <c r="BE17" s="132">
        <f t="shared" si="12"/>
        <v>0</v>
      </c>
      <c r="BF17" s="25"/>
      <c r="BG17" s="151">
        <f t="shared" si="13"/>
        <v>0</v>
      </c>
      <c r="BH17" s="24"/>
      <c r="BI17" s="66"/>
      <c r="BJ17" s="66"/>
      <c r="BK17" s="66"/>
      <c r="BL17" s="132">
        <f t="shared" si="14"/>
        <v>0</v>
      </c>
      <c r="BM17" s="25"/>
      <c r="BN17" s="151">
        <f t="shared" si="15"/>
        <v>0</v>
      </c>
      <c r="BO17" s="236">
        <f t="shared" si="21"/>
        <v>25</v>
      </c>
      <c r="BP17" s="66">
        <f t="shared" si="16"/>
        <v>6</v>
      </c>
      <c r="BQ17" s="66">
        <f t="shared" si="17"/>
        <v>20</v>
      </c>
      <c r="BR17" s="66">
        <f t="shared" si="18"/>
        <v>21</v>
      </c>
      <c r="BS17" s="132">
        <f t="shared" si="19"/>
        <v>72</v>
      </c>
      <c r="BT17" s="149">
        <f t="shared" si="20"/>
        <v>0</v>
      </c>
    </row>
    <row r="18" spans="1:72" x14ac:dyDescent="0.2">
      <c r="A18" t="s">
        <v>86</v>
      </c>
      <c r="B18" s="24"/>
      <c r="C18" s="66"/>
      <c r="D18" s="66"/>
      <c r="E18" s="66"/>
      <c r="F18" s="132"/>
      <c r="G18" s="66"/>
      <c r="H18" s="153"/>
      <c r="I18" s="24"/>
      <c r="J18" s="66"/>
      <c r="K18" s="66"/>
      <c r="L18" s="66"/>
      <c r="M18" s="132">
        <f t="shared" si="0"/>
        <v>0</v>
      </c>
      <c r="N18" s="66"/>
      <c r="O18" s="153">
        <f t="shared" si="1"/>
        <v>0</v>
      </c>
      <c r="P18" s="24"/>
      <c r="Q18" s="66"/>
      <c r="R18" s="66"/>
      <c r="S18" s="66"/>
      <c r="T18" s="132">
        <f t="shared" si="2"/>
        <v>0</v>
      </c>
      <c r="U18" s="303"/>
      <c r="V18" s="208">
        <f t="shared" si="3"/>
        <v>0</v>
      </c>
      <c r="W18" s="24"/>
      <c r="X18" s="66"/>
      <c r="Y18" s="66"/>
      <c r="Z18" s="66"/>
      <c r="AA18" s="132">
        <f t="shared" si="4"/>
        <v>0</v>
      </c>
      <c r="AB18" s="303"/>
      <c r="AC18" s="153">
        <f t="shared" si="5"/>
        <v>0</v>
      </c>
      <c r="AD18" s="294"/>
      <c r="AE18" s="290"/>
      <c r="AF18" s="66"/>
      <c r="AG18" s="66"/>
      <c r="AH18" s="66"/>
      <c r="AI18" s="132">
        <f t="shared" si="6"/>
        <v>0</v>
      </c>
      <c r="AJ18" s="304"/>
      <c r="AK18" s="153">
        <f t="shared" si="7"/>
        <v>0</v>
      </c>
      <c r="AL18" s="294"/>
      <c r="AM18" s="24"/>
      <c r="AN18" s="66"/>
      <c r="AO18" s="66"/>
      <c r="AP18" s="66"/>
      <c r="AQ18" s="132">
        <f t="shared" si="8"/>
        <v>0</v>
      </c>
      <c r="AR18" s="304">
        <v>200</v>
      </c>
      <c r="AS18" s="153">
        <f t="shared" si="9"/>
        <v>0</v>
      </c>
      <c r="AT18" s="24"/>
      <c r="AU18" s="66"/>
      <c r="AV18" s="66"/>
      <c r="AW18" s="66"/>
      <c r="AX18" s="132">
        <f t="shared" si="10"/>
        <v>0</v>
      </c>
      <c r="AY18" s="303"/>
      <c r="AZ18" s="153">
        <f t="shared" si="11"/>
        <v>0</v>
      </c>
      <c r="BA18" s="66"/>
      <c r="BB18" s="66"/>
      <c r="BC18" s="66"/>
      <c r="BD18" s="66"/>
      <c r="BE18" s="132">
        <f t="shared" si="12"/>
        <v>0</v>
      </c>
      <c r="BF18" s="25"/>
      <c r="BG18" s="151">
        <f t="shared" si="13"/>
        <v>0</v>
      </c>
      <c r="BH18" s="24"/>
      <c r="BI18" s="66"/>
      <c r="BJ18" s="66"/>
      <c r="BK18" s="66"/>
      <c r="BL18" s="132">
        <f t="shared" si="14"/>
        <v>0</v>
      </c>
      <c r="BM18" s="25"/>
      <c r="BN18" s="151">
        <f t="shared" si="15"/>
        <v>0</v>
      </c>
      <c r="BO18" s="236">
        <f t="shared" si="21"/>
        <v>0</v>
      </c>
      <c r="BP18" s="66">
        <f t="shared" si="16"/>
        <v>0</v>
      </c>
      <c r="BQ18" s="66">
        <f t="shared" si="17"/>
        <v>0</v>
      </c>
      <c r="BR18" s="66">
        <f t="shared" si="18"/>
        <v>0</v>
      </c>
      <c r="BS18" s="132">
        <f t="shared" si="19"/>
        <v>0</v>
      </c>
      <c r="BT18" s="149">
        <f t="shared" si="20"/>
        <v>0</v>
      </c>
    </row>
    <row r="19" spans="1:72" x14ac:dyDescent="0.2">
      <c r="A19" t="s">
        <v>87</v>
      </c>
      <c r="B19" s="24"/>
      <c r="C19" s="66"/>
      <c r="D19" s="66"/>
      <c r="E19" s="66"/>
      <c r="F19" s="132"/>
      <c r="G19" s="66"/>
      <c r="H19" s="153"/>
      <c r="I19" s="66"/>
      <c r="J19" s="66"/>
      <c r="K19" s="66"/>
      <c r="L19" s="66"/>
      <c r="M19" s="132">
        <f t="shared" si="0"/>
        <v>0</v>
      </c>
      <c r="N19" s="66"/>
      <c r="O19" s="153">
        <f t="shared" si="1"/>
        <v>0</v>
      </c>
      <c r="P19" s="24"/>
      <c r="Q19" s="66"/>
      <c r="R19" s="66"/>
      <c r="S19" s="66"/>
      <c r="T19" s="132">
        <f t="shared" si="2"/>
        <v>0</v>
      </c>
      <c r="U19" s="303"/>
      <c r="V19" s="208">
        <f t="shared" si="3"/>
        <v>0</v>
      </c>
      <c r="W19" s="24"/>
      <c r="X19" s="66"/>
      <c r="Y19" s="66"/>
      <c r="Z19" s="66"/>
      <c r="AA19" s="132">
        <f t="shared" si="4"/>
        <v>0</v>
      </c>
      <c r="AB19" s="303"/>
      <c r="AC19" s="153">
        <f t="shared" si="5"/>
        <v>0</v>
      </c>
      <c r="AD19" s="294"/>
      <c r="AE19" s="290"/>
      <c r="AF19" s="66"/>
      <c r="AG19" s="66"/>
      <c r="AH19" s="66"/>
      <c r="AI19" s="132">
        <f t="shared" si="6"/>
        <v>0</v>
      </c>
      <c r="AJ19" s="304"/>
      <c r="AK19" s="153">
        <f t="shared" si="7"/>
        <v>0</v>
      </c>
      <c r="AL19" s="294"/>
      <c r="AM19" s="24"/>
      <c r="AN19" s="66"/>
      <c r="AO19" s="66"/>
      <c r="AP19" s="66"/>
      <c r="AQ19" s="132">
        <f t="shared" si="8"/>
        <v>0</v>
      </c>
      <c r="AR19" s="304">
        <v>200</v>
      </c>
      <c r="AS19" s="153">
        <f t="shared" si="9"/>
        <v>0</v>
      </c>
      <c r="AT19" s="24"/>
      <c r="AU19" s="66"/>
      <c r="AV19" s="66"/>
      <c r="AW19" s="66"/>
      <c r="AX19" s="132">
        <f t="shared" si="10"/>
        <v>0</v>
      </c>
      <c r="AY19" s="303"/>
      <c r="AZ19" s="153">
        <f t="shared" si="11"/>
        <v>0</v>
      </c>
      <c r="BA19" s="66"/>
      <c r="BB19" s="66"/>
      <c r="BC19" s="66"/>
      <c r="BD19" s="66"/>
      <c r="BE19" s="132">
        <f t="shared" si="12"/>
        <v>0</v>
      </c>
      <c r="BF19" s="25"/>
      <c r="BG19" s="151">
        <f t="shared" si="13"/>
        <v>0</v>
      </c>
      <c r="BH19" s="24"/>
      <c r="BI19" s="66"/>
      <c r="BJ19" s="66"/>
      <c r="BK19" s="66"/>
      <c r="BL19" s="132">
        <f t="shared" si="14"/>
        <v>0</v>
      </c>
      <c r="BM19" s="25"/>
      <c r="BN19" s="151">
        <f t="shared" si="15"/>
        <v>0</v>
      </c>
      <c r="BO19" s="236">
        <f t="shared" si="21"/>
        <v>0</v>
      </c>
      <c r="BP19" s="66">
        <f t="shared" si="16"/>
        <v>0</v>
      </c>
      <c r="BQ19" s="66">
        <f t="shared" si="17"/>
        <v>0</v>
      </c>
      <c r="BR19" s="66">
        <f t="shared" si="18"/>
        <v>0</v>
      </c>
      <c r="BS19" s="132">
        <f t="shared" si="19"/>
        <v>0</v>
      </c>
      <c r="BT19" s="149">
        <f t="shared" si="20"/>
        <v>0</v>
      </c>
    </row>
    <row r="20" spans="1:72" x14ac:dyDescent="0.2">
      <c r="A20" t="s">
        <v>138</v>
      </c>
      <c r="B20" s="24"/>
      <c r="C20" s="66"/>
      <c r="D20" s="66"/>
      <c r="E20" s="66"/>
      <c r="F20" s="132"/>
      <c r="G20" s="66"/>
      <c r="H20" s="153"/>
      <c r="I20" s="66"/>
      <c r="J20" s="66"/>
      <c r="K20" s="66"/>
      <c r="L20" s="66"/>
      <c r="M20" s="132"/>
      <c r="N20" s="66"/>
      <c r="O20" s="153"/>
      <c r="P20" s="24">
        <v>1</v>
      </c>
      <c r="Q20" s="66"/>
      <c r="R20" s="66"/>
      <c r="S20" s="66"/>
      <c r="T20" s="132">
        <f t="shared" si="2"/>
        <v>1</v>
      </c>
      <c r="U20" s="303"/>
      <c r="V20" s="208">
        <f t="shared" si="3"/>
        <v>0</v>
      </c>
      <c r="W20" s="24"/>
      <c r="X20" s="66"/>
      <c r="Y20" s="66"/>
      <c r="Z20" s="66"/>
      <c r="AA20" s="132"/>
      <c r="AB20" s="303"/>
      <c r="AC20" s="153"/>
      <c r="AD20" s="294"/>
      <c r="AE20" s="290"/>
      <c r="AF20" s="66"/>
      <c r="AG20" s="66"/>
      <c r="AH20" s="66"/>
      <c r="AI20" s="132"/>
      <c r="AJ20" s="304"/>
      <c r="AK20" s="153"/>
      <c r="AL20" s="294"/>
      <c r="AM20" s="24"/>
      <c r="AN20" s="66"/>
      <c r="AO20" s="66"/>
      <c r="AP20" s="66"/>
      <c r="AQ20" s="132"/>
      <c r="AR20" s="25"/>
      <c r="AS20" s="153"/>
      <c r="AT20" s="24"/>
      <c r="AU20" s="66"/>
      <c r="AV20" s="66"/>
      <c r="AW20" s="66"/>
      <c r="AX20" s="132"/>
      <c r="AY20" s="303"/>
      <c r="AZ20" s="153"/>
      <c r="BA20" s="24"/>
      <c r="BB20" s="66"/>
      <c r="BC20" s="66"/>
      <c r="BD20" s="66"/>
      <c r="BE20" s="132">
        <f t="shared" si="12"/>
        <v>0</v>
      </c>
      <c r="BF20" s="25"/>
      <c r="BG20" s="151">
        <f t="shared" si="13"/>
        <v>0</v>
      </c>
      <c r="BH20" s="24"/>
      <c r="BI20" s="66"/>
      <c r="BJ20" s="66"/>
      <c r="BK20" s="66"/>
      <c r="BL20" s="132"/>
      <c r="BM20" s="25"/>
      <c r="BN20" s="151"/>
      <c r="BO20" s="236">
        <f t="shared" si="21"/>
        <v>1</v>
      </c>
      <c r="BP20" s="66">
        <f t="shared" si="16"/>
        <v>0</v>
      </c>
      <c r="BQ20" s="66">
        <f t="shared" si="17"/>
        <v>0</v>
      </c>
      <c r="BR20" s="66">
        <f t="shared" si="18"/>
        <v>0</v>
      </c>
      <c r="BS20" s="132">
        <f t="shared" si="19"/>
        <v>1</v>
      </c>
      <c r="BT20" s="149">
        <f t="shared" si="20"/>
        <v>0</v>
      </c>
    </row>
    <row r="21" spans="1:72" x14ac:dyDescent="0.2">
      <c r="A21" t="s">
        <v>77</v>
      </c>
      <c r="B21" s="24"/>
      <c r="C21" s="66"/>
      <c r="D21" s="66"/>
      <c r="E21" s="66"/>
      <c r="F21" s="132"/>
      <c r="G21" s="66"/>
      <c r="H21" s="153"/>
      <c r="I21" s="66"/>
      <c r="J21" s="66"/>
      <c r="K21" s="66"/>
      <c r="L21" s="66"/>
      <c r="M21" s="132">
        <f t="shared" si="0"/>
        <v>0</v>
      </c>
      <c r="N21" s="66"/>
      <c r="O21" s="153">
        <f t="shared" si="1"/>
        <v>0</v>
      </c>
      <c r="P21" s="24">
        <v>1</v>
      </c>
      <c r="Q21" s="66">
        <v>4</v>
      </c>
      <c r="R21" s="66">
        <v>4</v>
      </c>
      <c r="S21" s="66">
        <v>2</v>
      </c>
      <c r="T21" s="132">
        <f t="shared" si="2"/>
        <v>11</v>
      </c>
      <c r="U21" s="303">
        <v>1730</v>
      </c>
      <c r="V21" s="208">
        <f t="shared" si="3"/>
        <v>19030</v>
      </c>
      <c r="W21" s="24"/>
      <c r="X21" s="66"/>
      <c r="Y21" s="66"/>
      <c r="Z21" s="66"/>
      <c r="AA21" s="132">
        <f t="shared" si="4"/>
        <v>0</v>
      </c>
      <c r="AB21" s="303">
        <v>2200</v>
      </c>
      <c r="AC21" s="153">
        <f t="shared" si="5"/>
        <v>0</v>
      </c>
      <c r="AD21" s="294"/>
      <c r="AE21" s="290"/>
      <c r="AF21" s="66"/>
      <c r="AG21" s="66"/>
      <c r="AH21" s="66"/>
      <c r="AI21" s="132">
        <f t="shared" si="6"/>
        <v>0</v>
      </c>
      <c r="AJ21" s="304"/>
      <c r="AK21" s="153">
        <f t="shared" si="7"/>
        <v>0</v>
      </c>
      <c r="AL21" s="294"/>
      <c r="AM21" s="24"/>
      <c r="AN21" s="66"/>
      <c r="AO21" s="66"/>
      <c r="AP21" s="66"/>
      <c r="AQ21" s="132">
        <f t="shared" si="8"/>
        <v>0</v>
      </c>
      <c r="AR21" s="25">
        <v>960</v>
      </c>
      <c r="AS21" s="153">
        <f t="shared" si="9"/>
        <v>0</v>
      </c>
      <c r="AT21" s="24"/>
      <c r="AU21" s="66"/>
      <c r="AV21" s="66"/>
      <c r="AW21" s="66"/>
      <c r="AX21" s="132">
        <f t="shared" si="10"/>
        <v>0</v>
      </c>
      <c r="AY21" s="303"/>
      <c r="AZ21" s="153">
        <f t="shared" si="11"/>
        <v>0</v>
      </c>
      <c r="BA21" s="66"/>
      <c r="BB21" s="66"/>
      <c r="BC21" s="66"/>
      <c r="BD21" s="66"/>
      <c r="BE21" s="132">
        <f t="shared" si="12"/>
        <v>0</v>
      </c>
      <c r="BF21" s="25"/>
      <c r="BG21" s="151">
        <f t="shared" si="13"/>
        <v>0</v>
      </c>
      <c r="BH21" s="24"/>
      <c r="BI21" s="66"/>
      <c r="BJ21" s="66"/>
      <c r="BK21" s="66"/>
      <c r="BL21" s="132">
        <f t="shared" si="14"/>
        <v>0</v>
      </c>
      <c r="BM21" s="25"/>
      <c r="BN21" s="151">
        <f t="shared" si="15"/>
        <v>0</v>
      </c>
      <c r="BO21" s="236">
        <f t="shared" si="21"/>
        <v>1</v>
      </c>
      <c r="BP21" s="66">
        <f t="shared" si="16"/>
        <v>4</v>
      </c>
      <c r="BQ21" s="66">
        <f t="shared" si="17"/>
        <v>4</v>
      </c>
      <c r="BR21" s="66">
        <f t="shared" si="18"/>
        <v>2</v>
      </c>
      <c r="BS21" s="132">
        <f t="shared" si="19"/>
        <v>11</v>
      </c>
      <c r="BT21" s="149">
        <f t="shared" si="20"/>
        <v>19030</v>
      </c>
    </row>
    <row r="22" spans="1:72" x14ac:dyDescent="0.2">
      <c r="A22" t="s">
        <v>78</v>
      </c>
      <c r="B22" s="24"/>
      <c r="C22" s="66"/>
      <c r="D22" s="66"/>
      <c r="E22" s="66"/>
      <c r="F22" s="132"/>
      <c r="G22" s="66"/>
      <c r="H22" s="153"/>
      <c r="I22" s="66"/>
      <c r="J22" s="66"/>
      <c r="K22" s="66"/>
      <c r="L22" s="66"/>
      <c r="M22" s="132">
        <f t="shared" si="0"/>
        <v>0</v>
      </c>
      <c r="N22" s="66"/>
      <c r="O22" s="153">
        <f t="shared" si="1"/>
        <v>0</v>
      </c>
      <c r="P22" s="24"/>
      <c r="Q22" s="66"/>
      <c r="R22" s="66">
        <v>2</v>
      </c>
      <c r="S22" s="66">
        <v>1</v>
      </c>
      <c r="T22" s="132">
        <f t="shared" si="2"/>
        <v>3</v>
      </c>
      <c r="U22" s="303">
        <v>1230</v>
      </c>
      <c r="V22" s="208">
        <f t="shared" si="3"/>
        <v>3690</v>
      </c>
      <c r="W22" s="24"/>
      <c r="X22" s="66"/>
      <c r="Y22" s="66"/>
      <c r="Z22" s="66"/>
      <c r="AA22" s="132">
        <f t="shared" si="4"/>
        <v>0</v>
      </c>
      <c r="AB22" s="303"/>
      <c r="AC22" s="153">
        <f t="shared" si="5"/>
        <v>0</v>
      </c>
      <c r="AD22" s="294"/>
      <c r="AE22" s="290"/>
      <c r="AF22" s="66"/>
      <c r="AG22" s="66"/>
      <c r="AH22" s="66"/>
      <c r="AI22" s="132">
        <f t="shared" si="6"/>
        <v>0</v>
      </c>
      <c r="AJ22" s="304"/>
      <c r="AK22" s="153">
        <f t="shared" si="7"/>
        <v>0</v>
      </c>
      <c r="AL22" s="294"/>
      <c r="AM22" s="24"/>
      <c r="AN22" s="66"/>
      <c r="AO22" s="66"/>
      <c r="AP22" s="66"/>
      <c r="AQ22" s="132">
        <f t="shared" si="8"/>
        <v>0</v>
      </c>
      <c r="AR22" s="304">
        <v>200</v>
      </c>
      <c r="AS22" s="153">
        <f t="shared" si="9"/>
        <v>0</v>
      </c>
      <c r="AT22" s="24"/>
      <c r="AU22" s="66"/>
      <c r="AV22" s="66"/>
      <c r="AW22" s="66"/>
      <c r="AX22" s="132">
        <f t="shared" si="10"/>
        <v>0</v>
      </c>
      <c r="AY22" s="303"/>
      <c r="AZ22" s="153">
        <f t="shared" si="11"/>
        <v>0</v>
      </c>
      <c r="BA22" s="66"/>
      <c r="BB22" s="66"/>
      <c r="BC22" s="66"/>
      <c r="BD22" s="66"/>
      <c r="BE22" s="132">
        <f t="shared" si="12"/>
        <v>0</v>
      </c>
      <c r="BF22" s="25"/>
      <c r="BG22" s="151">
        <f t="shared" si="13"/>
        <v>0</v>
      </c>
      <c r="BH22" s="24"/>
      <c r="BI22" s="66"/>
      <c r="BJ22" s="66"/>
      <c r="BK22" s="66"/>
      <c r="BL22" s="132">
        <f t="shared" si="14"/>
        <v>0</v>
      </c>
      <c r="BM22" s="25"/>
      <c r="BN22" s="151">
        <f t="shared" si="15"/>
        <v>0</v>
      </c>
      <c r="BO22" s="236">
        <f t="shared" si="21"/>
        <v>0</v>
      </c>
      <c r="BP22" s="66">
        <f t="shared" si="16"/>
        <v>0</v>
      </c>
      <c r="BQ22" s="66">
        <f t="shared" si="17"/>
        <v>2</v>
      </c>
      <c r="BR22" s="66">
        <f t="shared" si="18"/>
        <v>1</v>
      </c>
      <c r="BS22" s="132">
        <f t="shared" si="19"/>
        <v>3</v>
      </c>
      <c r="BT22" s="149">
        <f t="shared" si="20"/>
        <v>3690</v>
      </c>
    </row>
    <row r="23" spans="1:72" x14ac:dyDescent="0.2">
      <c r="A23" t="s">
        <v>79</v>
      </c>
      <c r="B23" s="24"/>
      <c r="C23" s="66"/>
      <c r="D23" s="66"/>
      <c r="E23" s="66"/>
      <c r="F23" s="132"/>
      <c r="G23" s="66"/>
      <c r="H23" s="153"/>
      <c r="I23" s="66">
        <v>1</v>
      </c>
      <c r="J23" s="66">
        <v>3</v>
      </c>
      <c r="K23" s="66">
        <v>5</v>
      </c>
      <c r="L23" s="66">
        <v>7</v>
      </c>
      <c r="M23" s="132">
        <f t="shared" si="0"/>
        <v>16</v>
      </c>
      <c r="N23" s="303">
        <v>1150</v>
      </c>
      <c r="O23" s="153">
        <f t="shared" si="1"/>
        <v>18400</v>
      </c>
      <c r="P23" s="24">
        <v>6</v>
      </c>
      <c r="Q23" s="66">
        <v>4</v>
      </c>
      <c r="R23" s="66">
        <v>2</v>
      </c>
      <c r="S23" s="66"/>
      <c r="T23" s="132">
        <f t="shared" si="2"/>
        <v>12</v>
      </c>
      <c r="U23" s="303">
        <v>980</v>
      </c>
      <c r="V23" s="208">
        <f t="shared" si="3"/>
        <v>11760</v>
      </c>
      <c r="W23" s="290">
        <v>15</v>
      </c>
      <c r="X23" s="66">
        <v>7</v>
      </c>
      <c r="Y23" s="66">
        <v>7</v>
      </c>
      <c r="Z23" s="66">
        <v>1</v>
      </c>
      <c r="AA23" s="132">
        <f t="shared" si="4"/>
        <v>30</v>
      </c>
      <c r="AB23" s="303">
        <v>1550</v>
      </c>
      <c r="AC23" s="153">
        <f t="shared" si="5"/>
        <v>46500</v>
      </c>
      <c r="AD23" s="294"/>
      <c r="AE23" s="290">
        <v>5</v>
      </c>
      <c r="AF23" s="66"/>
      <c r="AG23" s="66">
        <v>3</v>
      </c>
      <c r="AH23" s="66"/>
      <c r="AI23" s="132">
        <f t="shared" si="6"/>
        <v>8</v>
      </c>
      <c r="AJ23" s="304">
        <v>900</v>
      </c>
      <c r="AK23" s="153">
        <f t="shared" si="7"/>
        <v>7200</v>
      </c>
      <c r="AL23" s="294"/>
      <c r="AM23" s="24"/>
      <c r="AN23" s="66"/>
      <c r="AO23" s="66"/>
      <c r="AP23" s="66"/>
      <c r="AQ23" s="132">
        <f t="shared" si="8"/>
        <v>0</v>
      </c>
      <c r="AR23" s="304">
        <v>1200</v>
      </c>
      <c r="AS23" s="153">
        <f t="shared" si="9"/>
        <v>0</v>
      </c>
      <c r="AT23" s="24"/>
      <c r="AU23" s="66"/>
      <c r="AV23" s="66"/>
      <c r="AW23" s="66"/>
      <c r="AX23" s="132">
        <f t="shared" si="10"/>
        <v>0</v>
      </c>
      <c r="AY23" s="303">
        <v>1600</v>
      </c>
      <c r="AZ23" s="153">
        <f t="shared" si="11"/>
        <v>0</v>
      </c>
      <c r="BA23" s="66"/>
      <c r="BB23" s="66"/>
      <c r="BC23" s="66"/>
      <c r="BD23" s="66"/>
      <c r="BE23" s="132">
        <f t="shared" si="12"/>
        <v>0</v>
      </c>
      <c r="BF23" s="25"/>
      <c r="BG23" s="151">
        <f t="shared" si="13"/>
        <v>0</v>
      </c>
      <c r="BH23" s="24"/>
      <c r="BI23" s="66"/>
      <c r="BJ23" s="66"/>
      <c r="BK23" s="66"/>
      <c r="BL23" s="132">
        <f t="shared" si="14"/>
        <v>0</v>
      </c>
      <c r="BM23" s="25"/>
      <c r="BN23" s="151">
        <f t="shared" si="15"/>
        <v>0</v>
      </c>
      <c r="BO23" s="236">
        <f t="shared" si="21"/>
        <v>27</v>
      </c>
      <c r="BP23" s="66">
        <f t="shared" si="16"/>
        <v>14</v>
      </c>
      <c r="BQ23" s="66">
        <f t="shared" si="17"/>
        <v>17</v>
      </c>
      <c r="BR23" s="66">
        <f t="shared" si="18"/>
        <v>8</v>
      </c>
      <c r="BS23" s="132">
        <f t="shared" si="19"/>
        <v>66</v>
      </c>
      <c r="BT23" s="149">
        <f t="shared" si="20"/>
        <v>83860</v>
      </c>
    </row>
    <row r="24" spans="1:72" x14ac:dyDescent="0.2">
      <c r="A24" t="s">
        <v>80</v>
      </c>
      <c r="B24" s="24"/>
      <c r="C24" s="66"/>
      <c r="D24" s="66"/>
      <c r="E24" s="66"/>
      <c r="F24" s="132"/>
      <c r="G24" s="66"/>
      <c r="H24" s="153"/>
      <c r="I24" s="66">
        <v>112</v>
      </c>
      <c r="J24" s="66">
        <v>55</v>
      </c>
      <c r="K24" s="66">
        <v>57</v>
      </c>
      <c r="L24" s="66">
        <v>65</v>
      </c>
      <c r="M24" s="132">
        <f t="shared" si="0"/>
        <v>289</v>
      </c>
      <c r="N24" s="303">
        <v>200</v>
      </c>
      <c r="O24" s="153">
        <f t="shared" si="1"/>
        <v>57800</v>
      </c>
      <c r="P24" s="24"/>
      <c r="Q24" s="66"/>
      <c r="R24" s="66"/>
      <c r="S24" s="66"/>
      <c r="T24" s="132">
        <f t="shared" si="2"/>
        <v>0</v>
      </c>
      <c r="U24" s="303"/>
      <c r="V24" s="208">
        <f t="shared" si="3"/>
        <v>0</v>
      </c>
      <c r="W24" s="24"/>
      <c r="X24" s="66"/>
      <c r="Y24" s="66"/>
      <c r="Z24" s="66"/>
      <c r="AA24" s="132">
        <f t="shared" si="4"/>
        <v>0</v>
      </c>
      <c r="AB24" s="303"/>
      <c r="AC24" s="153">
        <f t="shared" si="5"/>
        <v>0</v>
      </c>
      <c r="AD24" s="294"/>
      <c r="AE24" s="290"/>
      <c r="AF24" s="66"/>
      <c r="AG24" s="66"/>
      <c r="AH24" s="66"/>
      <c r="AI24" s="132">
        <f t="shared" si="6"/>
        <v>0</v>
      </c>
      <c r="AJ24" s="25"/>
      <c r="AK24" s="153">
        <f t="shared" si="7"/>
        <v>0</v>
      </c>
      <c r="AL24" s="294"/>
      <c r="AM24" s="24"/>
      <c r="AN24" s="66"/>
      <c r="AO24" s="66"/>
      <c r="AP24" s="66"/>
      <c r="AQ24" s="132">
        <f t="shared" si="8"/>
        <v>0</v>
      </c>
      <c r="AR24" s="25"/>
      <c r="AS24" s="153">
        <f t="shared" si="9"/>
        <v>0</v>
      </c>
      <c r="AT24" s="24"/>
      <c r="AU24" s="66"/>
      <c r="AV24" s="66"/>
      <c r="AW24" s="66"/>
      <c r="AX24" s="132">
        <f t="shared" si="10"/>
        <v>0</v>
      </c>
      <c r="AY24" s="303"/>
      <c r="AZ24" s="153">
        <f t="shared" si="11"/>
        <v>0</v>
      </c>
      <c r="BA24" s="66"/>
      <c r="BB24" s="66"/>
      <c r="BC24" s="66"/>
      <c r="BD24" s="66"/>
      <c r="BE24" s="132">
        <f t="shared" si="12"/>
        <v>0</v>
      </c>
      <c r="BF24" s="25"/>
      <c r="BG24" s="151">
        <f t="shared" si="13"/>
        <v>0</v>
      </c>
      <c r="BH24" s="24"/>
      <c r="BI24" s="66"/>
      <c r="BJ24" s="66"/>
      <c r="BK24" s="66"/>
      <c r="BL24" s="132">
        <f t="shared" si="14"/>
        <v>0</v>
      </c>
      <c r="BM24" s="25"/>
      <c r="BN24" s="151">
        <f t="shared" si="15"/>
        <v>0</v>
      </c>
      <c r="BO24" s="236">
        <f t="shared" si="21"/>
        <v>112</v>
      </c>
      <c r="BP24" s="66">
        <f t="shared" si="16"/>
        <v>55</v>
      </c>
      <c r="BQ24" s="66">
        <f t="shared" si="17"/>
        <v>57</v>
      </c>
      <c r="BR24" s="66">
        <f t="shared" si="18"/>
        <v>65</v>
      </c>
      <c r="BS24" s="132">
        <f t="shared" si="19"/>
        <v>289</v>
      </c>
      <c r="BT24" s="149">
        <f t="shared" si="20"/>
        <v>57800</v>
      </c>
    </row>
    <row r="25" spans="1:72" x14ac:dyDescent="0.2">
      <c r="A25" t="s">
        <v>88</v>
      </c>
      <c r="B25" s="24"/>
      <c r="C25" s="66"/>
      <c r="D25" s="66"/>
      <c r="E25" s="66"/>
      <c r="F25" s="132"/>
      <c r="G25" s="66"/>
      <c r="H25" s="153"/>
      <c r="I25" s="24"/>
      <c r="J25" s="66"/>
      <c r="K25" s="66"/>
      <c r="L25" s="66"/>
      <c r="M25" s="132">
        <f t="shared" si="0"/>
        <v>0</v>
      </c>
      <c r="N25" s="303">
        <v>200</v>
      </c>
      <c r="O25" s="153">
        <f t="shared" si="1"/>
        <v>0</v>
      </c>
      <c r="P25" s="24">
        <v>38</v>
      </c>
      <c r="Q25" s="66"/>
      <c r="R25" s="66">
        <v>42</v>
      </c>
      <c r="S25" s="66">
        <v>62</v>
      </c>
      <c r="T25" s="132">
        <f t="shared" si="2"/>
        <v>142</v>
      </c>
      <c r="U25" s="303">
        <v>140</v>
      </c>
      <c r="V25" s="208">
        <f t="shared" si="3"/>
        <v>19880</v>
      </c>
      <c r="W25" s="24"/>
      <c r="X25" s="66"/>
      <c r="Y25" s="66"/>
      <c r="Z25" s="66"/>
      <c r="AA25" s="132">
        <f t="shared" si="4"/>
        <v>0</v>
      </c>
      <c r="AB25" s="303">
        <v>200</v>
      </c>
      <c r="AC25" s="153">
        <f t="shared" si="5"/>
        <v>0</v>
      </c>
      <c r="AD25" s="294"/>
      <c r="AE25" s="290"/>
      <c r="AF25" s="66"/>
      <c r="AG25" s="66"/>
      <c r="AH25" s="66"/>
      <c r="AI25" s="132">
        <f t="shared" si="6"/>
        <v>0</v>
      </c>
      <c r="AJ25" s="304">
        <v>100</v>
      </c>
      <c r="AK25" s="153">
        <f t="shared" si="7"/>
        <v>0</v>
      </c>
      <c r="AL25" s="294"/>
      <c r="AM25" s="24"/>
      <c r="AN25" s="66"/>
      <c r="AO25" s="66"/>
      <c r="AP25" s="66"/>
      <c r="AQ25" s="132">
        <f>SUM(AN25:AP25)</f>
        <v>0</v>
      </c>
      <c r="AR25" s="304">
        <v>250</v>
      </c>
      <c r="AS25" s="153">
        <f t="shared" si="9"/>
        <v>0</v>
      </c>
      <c r="AT25" s="24"/>
      <c r="AU25" s="66"/>
      <c r="AV25" s="66"/>
      <c r="AW25" s="66"/>
      <c r="AX25" s="132">
        <f t="shared" si="10"/>
        <v>0</v>
      </c>
      <c r="AY25" s="303">
        <v>400</v>
      </c>
      <c r="AZ25" s="153">
        <f t="shared" si="11"/>
        <v>0</v>
      </c>
      <c r="BA25" s="66"/>
      <c r="BB25" s="66"/>
      <c r="BC25" s="66"/>
      <c r="BD25" s="66"/>
      <c r="BE25" s="132">
        <f t="shared" si="12"/>
        <v>0</v>
      </c>
      <c r="BF25" s="25"/>
      <c r="BG25" s="151">
        <f t="shared" si="13"/>
        <v>0</v>
      </c>
      <c r="BH25" s="24"/>
      <c r="BI25" s="66"/>
      <c r="BJ25" s="66"/>
      <c r="BK25" s="66"/>
      <c r="BL25" s="132">
        <f t="shared" si="14"/>
        <v>0</v>
      </c>
      <c r="BM25" s="25"/>
      <c r="BN25" s="151">
        <f t="shared" si="15"/>
        <v>0</v>
      </c>
      <c r="BO25" s="236">
        <f t="shared" si="21"/>
        <v>38</v>
      </c>
      <c r="BP25" s="66">
        <f t="shared" si="16"/>
        <v>0</v>
      </c>
      <c r="BQ25" s="66">
        <f t="shared" si="17"/>
        <v>42</v>
      </c>
      <c r="BR25" s="66">
        <f t="shared" si="18"/>
        <v>62</v>
      </c>
      <c r="BS25" s="132">
        <f t="shared" si="19"/>
        <v>142</v>
      </c>
      <c r="BT25" s="149">
        <f t="shared" si="20"/>
        <v>19880</v>
      </c>
    </row>
    <row r="26" spans="1:72" ht="13.5" thickBot="1" x14ac:dyDescent="0.25">
      <c r="A26" t="s">
        <v>81</v>
      </c>
      <c r="B26" s="114"/>
      <c r="C26" s="127"/>
      <c r="D26" s="127"/>
      <c r="E26" s="127"/>
      <c r="F26" s="133"/>
      <c r="G26" s="127"/>
      <c r="H26" s="154"/>
      <c r="I26" s="114"/>
      <c r="J26" s="127"/>
      <c r="K26" s="127"/>
      <c r="L26" s="127"/>
      <c r="M26" s="133">
        <f t="shared" si="0"/>
        <v>0</v>
      </c>
      <c r="N26" s="127"/>
      <c r="O26" s="154">
        <f>M26*N26</f>
        <v>0</v>
      </c>
      <c r="P26" s="114"/>
      <c r="Q26" s="127"/>
      <c r="R26" s="127"/>
      <c r="S26" s="127"/>
      <c r="T26" s="133">
        <f t="shared" si="2"/>
        <v>0</v>
      </c>
      <c r="U26" s="305"/>
      <c r="V26" s="209">
        <f>T26*U26</f>
        <v>0</v>
      </c>
      <c r="W26" s="114"/>
      <c r="X26" s="127"/>
      <c r="Y26" s="127"/>
      <c r="Z26" s="127"/>
      <c r="AA26" s="133">
        <f t="shared" si="4"/>
        <v>0</v>
      </c>
      <c r="AB26" s="127">
        <v>0</v>
      </c>
      <c r="AC26" s="154">
        <f>AA26*AB26</f>
        <v>0</v>
      </c>
      <c r="AD26" s="295"/>
      <c r="AE26" s="284"/>
      <c r="AF26" s="127"/>
      <c r="AG26" s="127"/>
      <c r="AH26" s="127"/>
      <c r="AI26" s="133">
        <f>SUM(AF26:AH26)</f>
        <v>0</v>
      </c>
      <c r="AJ26" s="136"/>
      <c r="AK26" s="154">
        <f>AI26*AJ26</f>
        <v>0</v>
      </c>
      <c r="AL26" s="295"/>
      <c r="AM26" s="114"/>
      <c r="AN26" s="127"/>
      <c r="AO26" s="127"/>
      <c r="AP26" s="127"/>
      <c r="AQ26" s="133">
        <f t="shared" si="8"/>
        <v>0</v>
      </c>
      <c r="AR26" s="136"/>
      <c r="AS26" s="154">
        <f>AQ26*AR26</f>
        <v>0</v>
      </c>
      <c r="AT26" s="114"/>
      <c r="AU26" s="127"/>
      <c r="AV26" s="127"/>
      <c r="AW26" s="127"/>
      <c r="AX26" s="133">
        <f t="shared" si="10"/>
        <v>0</v>
      </c>
      <c r="AY26" s="305"/>
      <c r="AZ26" s="154">
        <f>AX26*AY26</f>
        <v>0</v>
      </c>
      <c r="BA26" s="116"/>
      <c r="BB26" s="127"/>
      <c r="BC26" s="127"/>
      <c r="BD26" s="127"/>
      <c r="BE26" s="133">
        <f t="shared" si="12"/>
        <v>0</v>
      </c>
      <c r="BF26" s="136"/>
      <c r="BG26" s="152">
        <f>BE26*BF26</f>
        <v>0</v>
      </c>
      <c r="BH26" s="114"/>
      <c r="BI26" s="127"/>
      <c r="BJ26" s="127"/>
      <c r="BK26" s="127"/>
      <c r="BL26" s="133">
        <f t="shared" si="14"/>
        <v>0</v>
      </c>
      <c r="BM26" s="136"/>
      <c r="BN26" s="152">
        <f>BL26*BM26</f>
        <v>0</v>
      </c>
      <c r="BO26" s="237">
        <f>B26+I26+P26+W26+AE26+AM26+AT26+BA26+BH26</f>
        <v>0</v>
      </c>
      <c r="BP26" s="203">
        <f>C26+J26+Q26+X26+AF26+AN26+AU26+BB26+BI26</f>
        <v>0</v>
      </c>
      <c r="BQ26" s="203">
        <f>D26+K26+R26+Y26+AG26+AO26+AV26+BC26+BJ26</f>
        <v>0</v>
      </c>
      <c r="BR26" s="204">
        <f>E26+L26+S26+Z26+AH26+AP26+AW26+BD26+BK26</f>
        <v>0</v>
      </c>
      <c r="BS26" s="148">
        <f t="shared" si="19"/>
        <v>0</v>
      </c>
      <c r="BT26" s="168">
        <f>H26+O26+V26+AC26+AK26+AS26+AZ26+BG26+BN26</f>
        <v>0</v>
      </c>
    </row>
    <row r="27" spans="1:72" x14ac:dyDescent="0.2">
      <c r="A27" t="s">
        <v>5</v>
      </c>
      <c r="BN27" s="150"/>
      <c r="BO27" s="150"/>
      <c r="BP27" s="150"/>
      <c r="BQ27" s="150"/>
      <c r="BR27" s="150"/>
      <c r="BS27" s="150">
        <f>SUM(BS5:BS22)</f>
        <v>12133</v>
      </c>
      <c r="BT27" s="150">
        <f>SUM(BT5:BT26)</f>
        <v>3237135</v>
      </c>
    </row>
    <row r="29" spans="1:72" ht="13.5" thickBot="1" x14ac:dyDescent="0.25"/>
    <row r="30" spans="1:72" s="187" customFormat="1" ht="24" customHeight="1" x14ac:dyDescent="0.2">
      <c r="A30" s="186" t="s">
        <v>133</v>
      </c>
      <c r="V30" s="210"/>
      <c r="AD30" s="280" t="s">
        <v>486</v>
      </c>
      <c r="AE30" s="281" t="s">
        <v>185</v>
      </c>
      <c r="AF30" s="281"/>
      <c r="AG30" s="281"/>
      <c r="AH30" s="281"/>
      <c r="AI30" s="281"/>
      <c r="AJ30" s="281"/>
      <c r="AK30" s="282"/>
      <c r="AL30" s="280" t="s">
        <v>486</v>
      </c>
      <c r="AM30" s="281" t="s">
        <v>95</v>
      </c>
      <c r="AN30" s="281"/>
      <c r="AO30" s="281"/>
      <c r="AP30" s="281"/>
      <c r="AQ30" s="281"/>
      <c r="AR30" s="281"/>
      <c r="AS30" s="282"/>
    </row>
    <row r="31" spans="1:72" x14ac:dyDescent="0.2">
      <c r="A31" t="s">
        <v>90</v>
      </c>
      <c r="B31" s="113"/>
      <c r="C31" s="188"/>
      <c r="D31" s="188"/>
      <c r="E31" s="188"/>
      <c r="F31" s="189"/>
      <c r="G31" s="188"/>
      <c r="H31" s="190"/>
      <c r="I31" s="113"/>
      <c r="J31" s="188"/>
      <c r="K31" s="188"/>
      <c r="L31" s="188"/>
      <c r="M31" s="189">
        <f>SUM(I31:L31)</f>
        <v>0</v>
      </c>
      <c r="N31" s="188"/>
      <c r="O31" s="190">
        <f>M31*N31</f>
        <v>0</v>
      </c>
      <c r="P31" s="115"/>
      <c r="Q31" s="66"/>
      <c r="R31" s="66"/>
      <c r="S31" s="66"/>
      <c r="T31" s="132">
        <f>SUM(P31:S31)</f>
        <v>0</v>
      </c>
      <c r="U31" s="66">
        <v>280</v>
      </c>
      <c r="V31" s="208">
        <f>T31*U31</f>
        <v>0</v>
      </c>
      <c r="W31" s="113"/>
      <c r="X31" s="188"/>
      <c r="Y31" s="188"/>
      <c r="Z31" s="188"/>
      <c r="AA31" s="189">
        <f>SUM(W31:Z31)</f>
        <v>0</v>
      </c>
      <c r="AB31" s="188"/>
      <c r="AC31" s="190">
        <f>AA31*AB31</f>
        <v>0</v>
      </c>
      <c r="AD31" s="283">
        <v>1004</v>
      </c>
      <c r="AE31" s="285"/>
      <c r="AF31" s="66"/>
      <c r="AG31" s="66"/>
      <c r="AH31" s="66"/>
      <c r="AI31" s="132">
        <f t="shared" ref="AI31:AI37" si="22">SUM(AE31:AH31)</f>
        <v>0</v>
      </c>
      <c r="AJ31" s="66">
        <v>355</v>
      </c>
      <c r="AK31" s="153">
        <f>AI31*AJ31</f>
        <v>0</v>
      </c>
      <c r="AL31" s="297">
        <v>100100</v>
      </c>
      <c r="AM31" s="285"/>
      <c r="AN31" s="66"/>
      <c r="AO31" s="66"/>
      <c r="AP31" s="66"/>
      <c r="AQ31" s="132">
        <f>SUM(AM31:AP31)</f>
        <v>0</v>
      </c>
      <c r="AR31" s="66">
        <v>176</v>
      </c>
      <c r="AS31" s="153">
        <f>AQ31*AR31</f>
        <v>0</v>
      </c>
      <c r="AT31" s="188"/>
      <c r="AU31" s="188"/>
      <c r="AV31" s="188"/>
      <c r="AW31" s="188"/>
      <c r="AX31" s="189">
        <f>SUM(AT31:AW31)</f>
        <v>0</v>
      </c>
      <c r="AY31" s="188"/>
      <c r="AZ31" s="190">
        <f>AX31*AY31</f>
        <v>0</v>
      </c>
      <c r="BA31" s="24"/>
      <c r="BB31" s="66"/>
      <c r="BC31" s="66"/>
      <c r="BD31" s="66"/>
      <c r="BE31" s="132">
        <f>SUM(BA31:BD31)</f>
        <v>0</v>
      </c>
      <c r="BF31" s="25">
        <v>282</v>
      </c>
      <c r="BG31" s="151">
        <f>BE31*BF31</f>
        <v>0</v>
      </c>
      <c r="BH31" s="113"/>
      <c r="BI31" s="188"/>
      <c r="BJ31" s="188"/>
      <c r="BK31" s="188"/>
      <c r="BL31" s="189">
        <f>SUM(BH31:BK31)</f>
        <v>0</v>
      </c>
      <c r="BM31" s="188"/>
      <c r="BN31" s="191">
        <f>BL31*BM31</f>
        <v>0</v>
      </c>
      <c r="BO31" s="197">
        <f>B31+I31+P31+W31+AE31+AM31+AT31+BA31+BH31</f>
        <v>0</v>
      </c>
      <c r="BP31" s="188">
        <f>C31+J31+Q31+X31+AF31+AN31+AU31+BB31+BI31</f>
        <v>0</v>
      </c>
      <c r="BQ31" s="188">
        <f>D31+K31+R31+Y31+AG31+AO31+AV31+BC31+BJ31</f>
        <v>0</v>
      </c>
      <c r="BR31" s="188">
        <f>E31+L31+S31+Z31+AH31+AP31+AW31+BD31+BK31</f>
        <v>0</v>
      </c>
      <c r="BS31" s="166">
        <f>SUM(BO31:BR31)</f>
        <v>0</v>
      </c>
      <c r="BT31" s="149">
        <f>H31+O31+V31+AC31+AK31+AS31+AZ31+BG31+BN31</f>
        <v>0</v>
      </c>
    </row>
    <row r="32" spans="1:72" x14ac:dyDescent="0.2">
      <c r="A32" t="s">
        <v>89</v>
      </c>
      <c r="B32" s="113"/>
      <c r="C32" s="188"/>
      <c r="D32" s="188"/>
      <c r="E32" s="188"/>
      <c r="F32" s="189"/>
      <c r="G32" s="188"/>
      <c r="H32" s="190"/>
      <c r="I32" s="113"/>
      <c r="J32" s="188"/>
      <c r="K32" s="188"/>
      <c r="L32" s="188"/>
      <c r="M32" s="189">
        <f t="shared" ref="M32:M53" si="23">SUM(I32:L32)</f>
        <v>0</v>
      </c>
      <c r="N32" s="188"/>
      <c r="O32" s="190">
        <f t="shared" ref="O32:O46" si="24">M32*N32</f>
        <v>0</v>
      </c>
      <c r="P32" s="115"/>
      <c r="Q32" s="66"/>
      <c r="R32" s="66"/>
      <c r="S32" s="66"/>
      <c r="T32" s="132">
        <f t="shared" ref="T32:T53" si="25">SUM(P32:S32)</f>
        <v>0</v>
      </c>
      <c r="U32" s="66">
        <v>300</v>
      </c>
      <c r="V32" s="208">
        <f t="shared" ref="V32:V46" si="26">T32*U32</f>
        <v>0</v>
      </c>
      <c r="W32" s="113"/>
      <c r="X32" s="188"/>
      <c r="Y32" s="188"/>
      <c r="Z32" s="188"/>
      <c r="AA32" s="189">
        <f t="shared" ref="AA32:AA53" si="27">SUM(W32:Z32)</f>
        <v>0</v>
      </c>
      <c r="AB32" s="188"/>
      <c r="AC32" s="190">
        <f t="shared" ref="AC32:AC46" si="28">AA32*AB32</f>
        <v>0</v>
      </c>
      <c r="AD32" s="283">
        <v>1006</v>
      </c>
      <c r="AE32" s="285"/>
      <c r="AF32" s="66"/>
      <c r="AG32" s="66"/>
      <c r="AH32" s="66"/>
      <c r="AI32" s="132">
        <f t="shared" si="22"/>
        <v>0</v>
      </c>
      <c r="AJ32" s="66">
        <v>405</v>
      </c>
      <c r="AK32" s="153">
        <f t="shared" ref="AK32:AK37" si="29">AI32*AJ32</f>
        <v>0</v>
      </c>
      <c r="AL32" s="297">
        <v>100210</v>
      </c>
      <c r="AM32" s="285"/>
      <c r="AN32" s="66"/>
      <c r="AO32" s="66"/>
      <c r="AP32" s="66"/>
      <c r="AQ32" s="132">
        <f t="shared" ref="AQ32:AQ53" si="30">SUM(AM32:AP32)</f>
        <v>0</v>
      </c>
      <c r="AR32" s="66">
        <v>176</v>
      </c>
      <c r="AS32" s="153">
        <f t="shared" ref="AS32:AS47" si="31">AQ32*AR32</f>
        <v>0</v>
      </c>
      <c r="AT32" s="188"/>
      <c r="AU32" s="188"/>
      <c r="AV32" s="188"/>
      <c r="AW32" s="188"/>
      <c r="AX32" s="189">
        <f t="shared" ref="AX32:AX53" si="32">SUM(AT32:AW32)</f>
        <v>0</v>
      </c>
      <c r="AY32" s="188"/>
      <c r="AZ32" s="190">
        <f t="shared" ref="AZ32:AZ46" si="33">AX32*AY32</f>
        <v>0</v>
      </c>
      <c r="BA32" s="24"/>
      <c r="BB32" s="66"/>
      <c r="BC32" s="66"/>
      <c r="BD32" s="66"/>
      <c r="BE32" s="132">
        <f t="shared" ref="BE32:BE53" si="34">SUM(BA32:BD32)</f>
        <v>0</v>
      </c>
      <c r="BF32" s="25">
        <v>282</v>
      </c>
      <c r="BG32" s="151">
        <f t="shared" ref="BG32:BG46" si="35">BE32*BF32</f>
        <v>0</v>
      </c>
      <c r="BH32" s="113"/>
      <c r="BI32" s="188"/>
      <c r="BJ32" s="188"/>
      <c r="BK32" s="188"/>
      <c r="BL32" s="189">
        <f t="shared" ref="BL32:BL53" si="36">SUM(BH32:BK32)</f>
        <v>0</v>
      </c>
      <c r="BM32" s="188"/>
      <c r="BN32" s="191">
        <f t="shared" ref="BN32:BN46" si="37">BL32*BM32</f>
        <v>0</v>
      </c>
      <c r="BO32" s="197">
        <f>B32+I32+P32+W32+AE32+AM32+AT32+BA32+BH32</f>
        <v>0</v>
      </c>
      <c r="BP32" s="188">
        <f t="shared" ref="BP32:BP46" si="38">C32+J32+Q32+X32+AF32+AN32+AU32+BB32+BI32</f>
        <v>0</v>
      </c>
      <c r="BQ32" s="188">
        <f t="shared" ref="BQ32:BQ46" si="39">D32+K32+R32+Y32+AG32+AO32+AV32+BC32+BJ32</f>
        <v>0</v>
      </c>
      <c r="BR32" s="188">
        <f t="shared" ref="BR32:BR46" si="40">E32+L32+S32+Z32+AH32+AP32+AW32+BD32+BK32</f>
        <v>0</v>
      </c>
      <c r="BS32" s="132">
        <f t="shared" ref="BS32:BS53" si="41">SUM(BO32:BR32)</f>
        <v>0</v>
      </c>
      <c r="BT32" s="149">
        <f t="shared" ref="BT32:BT53" si="42">H32+O32+V32+AC32+AK32+AS32+AZ32+BG32+BN32</f>
        <v>0</v>
      </c>
    </row>
    <row r="33" spans="1:72" x14ac:dyDescent="0.2">
      <c r="A33" t="s">
        <v>72</v>
      </c>
      <c r="B33" s="113"/>
      <c r="C33" s="188"/>
      <c r="D33" s="188"/>
      <c r="E33" s="188"/>
      <c r="F33" s="189"/>
      <c r="G33" s="188"/>
      <c r="H33" s="190"/>
      <c r="I33" s="113"/>
      <c r="J33" s="188"/>
      <c r="K33" s="188"/>
      <c r="L33" s="188"/>
      <c r="M33" s="189">
        <f t="shared" si="23"/>
        <v>0</v>
      </c>
      <c r="N33" s="188"/>
      <c r="O33" s="190">
        <f t="shared" si="24"/>
        <v>0</v>
      </c>
      <c r="P33" s="115"/>
      <c r="Q33" s="66"/>
      <c r="R33" s="66"/>
      <c r="S33" s="66"/>
      <c r="T33" s="132">
        <f t="shared" si="25"/>
        <v>0</v>
      </c>
      <c r="U33" s="66">
        <v>280</v>
      </c>
      <c r="V33" s="208">
        <f t="shared" si="26"/>
        <v>0</v>
      </c>
      <c r="W33" s="113"/>
      <c r="X33" s="188"/>
      <c r="Y33" s="188"/>
      <c r="Z33" s="188"/>
      <c r="AA33" s="189">
        <f t="shared" si="27"/>
        <v>0</v>
      </c>
      <c r="AB33" s="188"/>
      <c r="AC33" s="190">
        <f t="shared" si="28"/>
        <v>0</v>
      </c>
      <c r="AD33" s="283">
        <v>1001</v>
      </c>
      <c r="AE33" s="285"/>
      <c r="AF33" s="66"/>
      <c r="AG33" s="66"/>
      <c r="AH33" s="66"/>
      <c r="AI33" s="132">
        <f t="shared" si="22"/>
        <v>0</v>
      </c>
      <c r="AJ33" s="66">
        <v>355</v>
      </c>
      <c r="AK33" s="153">
        <f t="shared" si="29"/>
        <v>0</v>
      </c>
      <c r="AL33" s="297">
        <v>100110</v>
      </c>
      <c r="AM33" s="285"/>
      <c r="AN33" s="66"/>
      <c r="AO33" s="66"/>
      <c r="AP33" s="66"/>
      <c r="AQ33" s="132">
        <f t="shared" si="30"/>
        <v>0</v>
      </c>
      <c r="AR33" s="66">
        <v>151</v>
      </c>
      <c r="AS33" s="153">
        <f t="shared" si="31"/>
        <v>0</v>
      </c>
      <c r="AT33" s="188"/>
      <c r="AU33" s="188"/>
      <c r="AV33" s="188"/>
      <c r="AW33" s="188"/>
      <c r="AX33" s="189">
        <f t="shared" si="32"/>
        <v>0</v>
      </c>
      <c r="AY33" s="188"/>
      <c r="AZ33" s="190">
        <f t="shared" si="33"/>
        <v>0</v>
      </c>
      <c r="BA33" s="24"/>
      <c r="BB33" s="66"/>
      <c r="BC33" s="66"/>
      <c r="BD33" s="66"/>
      <c r="BE33" s="132">
        <f t="shared" si="34"/>
        <v>0</v>
      </c>
      <c r="BF33" s="25">
        <v>282</v>
      </c>
      <c r="BG33" s="151">
        <f t="shared" si="35"/>
        <v>0</v>
      </c>
      <c r="BH33" s="113"/>
      <c r="BI33" s="188"/>
      <c r="BJ33" s="188"/>
      <c r="BK33" s="188"/>
      <c r="BL33" s="189">
        <f t="shared" si="36"/>
        <v>0</v>
      </c>
      <c r="BM33" s="188"/>
      <c r="BN33" s="191">
        <f t="shared" si="37"/>
        <v>0</v>
      </c>
      <c r="BO33" s="197">
        <f t="shared" ref="BO33:BO46" si="43">B33+I33+P33+W33+AE33+AM33+AT33+BA33+BH33</f>
        <v>0</v>
      </c>
      <c r="BP33" s="188">
        <f t="shared" si="38"/>
        <v>0</v>
      </c>
      <c r="BQ33" s="188">
        <f t="shared" si="39"/>
        <v>0</v>
      </c>
      <c r="BR33" s="188">
        <f t="shared" si="40"/>
        <v>0</v>
      </c>
      <c r="BS33" s="132">
        <f t="shared" si="41"/>
        <v>0</v>
      </c>
      <c r="BT33" s="149">
        <f t="shared" si="42"/>
        <v>0</v>
      </c>
    </row>
    <row r="34" spans="1:72" x14ac:dyDescent="0.2">
      <c r="A34" t="s">
        <v>73</v>
      </c>
      <c r="B34" s="113"/>
      <c r="C34" s="188"/>
      <c r="D34" s="188"/>
      <c r="E34" s="188"/>
      <c r="F34" s="189"/>
      <c r="G34" s="188"/>
      <c r="H34" s="190"/>
      <c r="I34" s="113"/>
      <c r="J34" s="188"/>
      <c r="K34" s="188"/>
      <c r="L34" s="188"/>
      <c r="M34" s="189">
        <f t="shared" si="23"/>
        <v>0</v>
      </c>
      <c r="N34" s="188"/>
      <c r="O34" s="190">
        <f t="shared" si="24"/>
        <v>0</v>
      </c>
      <c r="P34" s="115"/>
      <c r="Q34" s="66"/>
      <c r="R34" s="66"/>
      <c r="S34" s="66"/>
      <c r="T34" s="132">
        <f t="shared" si="25"/>
        <v>0</v>
      </c>
      <c r="U34" s="66">
        <v>300</v>
      </c>
      <c r="V34" s="208">
        <f t="shared" si="26"/>
        <v>0</v>
      </c>
      <c r="W34" s="113"/>
      <c r="X34" s="188"/>
      <c r="Y34" s="188"/>
      <c r="Z34" s="188"/>
      <c r="AA34" s="189">
        <f t="shared" si="27"/>
        <v>0</v>
      </c>
      <c r="AB34" s="188"/>
      <c r="AC34" s="190">
        <f t="shared" si="28"/>
        <v>0</v>
      </c>
      <c r="AD34" s="283">
        <v>1007</v>
      </c>
      <c r="AE34" s="285"/>
      <c r="AF34" s="66"/>
      <c r="AG34" s="66"/>
      <c r="AH34" s="66"/>
      <c r="AI34" s="132">
        <f t="shared" si="22"/>
        <v>0</v>
      </c>
      <c r="AJ34" s="66">
        <v>405</v>
      </c>
      <c r="AK34" s="153">
        <f t="shared" si="29"/>
        <v>0</v>
      </c>
      <c r="AL34" s="297">
        <v>100200</v>
      </c>
      <c r="AM34" s="285"/>
      <c r="AN34" s="66"/>
      <c r="AO34" s="66"/>
      <c r="AP34" s="66"/>
      <c r="AQ34" s="132">
        <f t="shared" si="30"/>
        <v>0</v>
      </c>
      <c r="AR34" s="66">
        <v>150</v>
      </c>
      <c r="AS34" s="153">
        <f t="shared" si="31"/>
        <v>0</v>
      </c>
      <c r="AT34" s="188"/>
      <c r="AU34" s="188"/>
      <c r="AV34" s="188"/>
      <c r="AW34" s="188"/>
      <c r="AX34" s="189">
        <f t="shared" si="32"/>
        <v>0</v>
      </c>
      <c r="AY34" s="188"/>
      <c r="AZ34" s="190">
        <f t="shared" si="33"/>
        <v>0</v>
      </c>
      <c r="BA34" s="24"/>
      <c r="BB34" s="66"/>
      <c r="BC34" s="66"/>
      <c r="BD34" s="66"/>
      <c r="BE34" s="132">
        <f t="shared" si="34"/>
        <v>0</v>
      </c>
      <c r="BF34" s="25">
        <v>282</v>
      </c>
      <c r="BG34" s="151">
        <f t="shared" si="35"/>
        <v>0</v>
      </c>
      <c r="BH34" s="113"/>
      <c r="BI34" s="188"/>
      <c r="BJ34" s="188"/>
      <c r="BK34" s="188"/>
      <c r="BL34" s="189">
        <f t="shared" si="36"/>
        <v>0</v>
      </c>
      <c r="BM34" s="188"/>
      <c r="BN34" s="191">
        <f t="shared" si="37"/>
        <v>0</v>
      </c>
      <c r="BO34" s="197">
        <f t="shared" si="43"/>
        <v>0</v>
      </c>
      <c r="BP34" s="188">
        <f t="shared" si="38"/>
        <v>0</v>
      </c>
      <c r="BQ34" s="188">
        <f t="shared" si="39"/>
        <v>0</v>
      </c>
      <c r="BR34" s="188">
        <f t="shared" si="40"/>
        <v>0</v>
      </c>
      <c r="BS34" s="132">
        <f t="shared" si="41"/>
        <v>0</v>
      </c>
      <c r="BT34" s="149">
        <f t="shared" si="42"/>
        <v>0</v>
      </c>
    </row>
    <row r="35" spans="1:72" x14ac:dyDescent="0.2">
      <c r="A35" t="s">
        <v>74</v>
      </c>
      <c r="B35" s="113"/>
      <c r="C35" s="188"/>
      <c r="D35" s="188"/>
      <c r="E35" s="188"/>
      <c r="F35" s="189"/>
      <c r="G35" s="188"/>
      <c r="H35" s="190"/>
      <c r="I35" s="113"/>
      <c r="J35" s="188"/>
      <c r="K35" s="188"/>
      <c r="L35" s="188"/>
      <c r="M35" s="189">
        <f t="shared" si="23"/>
        <v>0</v>
      </c>
      <c r="N35" s="188"/>
      <c r="O35" s="190">
        <f t="shared" si="24"/>
        <v>0</v>
      </c>
      <c r="P35" s="115"/>
      <c r="Q35" s="66"/>
      <c r="R35" s="66"/>
      <c r="S35" s="66"/>
      <c r="T35" s="132">
        <f t="shared" si="25"/>
        <v>0</v>
      </c>
      <c r="U35" s="66">
        <v>250</v>
      </c>
      <c r="V35" s="208">
        <f t="shared" si="26"/>
        <v>0</v>
      </c>
      <c r="W35" s="113"/>
      <c r="X35" s="188"/>
      <c r="Y35" s="188"/>
      <c r="Z35" s="188"/>
      <c r="AA35" s="189">
        <f t="shared" si="27"/>
        <v>0</v>
      </c>
      <c r="AB35" s="188"/>
      <c r="AC35" s="190">
        <f t="shared" si="28"/>
        <v>0</v>
      </c>
      <c r="AD35" s="283">
        <v>1005</v>
      </c>
      <c r="AE35" s="285"/>
      <c r="AF35" s="66"/>
      <c r="AG35" s="66"/>
      <c r="AH35" s="66"/>
      <c r="AI35" s="132">
        <f t="shared" si="22"/>
        <v>0</v>
      </c>
      <c r="AJ35" s="66">
        <v>115</v>
      </c>
      <c r="AK35" s="153">
        <f t="shared" si="29"/>
        <v>0</v>
      </c>
      <c r="AL35" s="297">
        <v>100130</v>
      </c>
      <c r="AM35" s="285"/>
      <c r="AN35" s="66"/>
      <c r="AO35" s="66"/>
      <c r="AP35" s="66"/>
      <c r="AQ35" s="132">
        <f t="shared" si="30"/>
        <v>0</v>
      </c>
      <c r="AR35" s="66">
        <v>176</v>
      </c>
      <c r="AS35" s="153">
        <f t="shared" si="31"/>
        <v>0</v>
      </c>
      <c r="AT35" s="188"/>
      <c r="AU35" s="188"/>
      <c r="AV35" s="188"/>
      <c r="AW35" s="188"/>
      <c r="AX35" s="189">
        <f t="shared" si="32"/>
        <v>0</v>
      </c>
      <c r="AY35" s="188"/>
      <c r="AZ35" s="190">
        <f t="shared" si="33"/>
        <v>0</v>
      </c>
      <c r="BA35" s="66"/>
      <c r="BB35" s="66"/>
      <c r="BC35" s="66"/>
      <c r="BD35" s="66"/>
      <c r="BE35" s="132">
        <f t="shared" si="34"/>
        <v>0</v>
      </c>
      <c r="BF35" s="25"/>
      <c r="BG35" s="151">
        <f t="shared" si="35"/>
        <v>0</v>
      </c>
      <c r="BH35" s="113"/>
      <c r="BI35" s="188"/>
      <c r="BJ35" s="188"/>
      <c r="BK35" s="188"/>
      <c r="BL35" s="189">
        <f t="shared" si="36"/>
        <v>0</v>
      </c>
      <c r="BM35" s="188"/>
      <c r="BN35" s="191">
        <f t="shared" si="37"/>
        <v>0</v>
      </c>
      <c r="BO35" s="197">
        <f t="shared" si="43"/>
        <v>0</v>
      </c>
      <c r="BP35" s="188">
        <f t="shared" si="38"/>
        <v>0</v>
      </c>
      <c r="BQ35" s="188">
        <f t="shared" si="39"/>
        <v>0</v>
      </c>
      <c r="BR35" s="188">
        <f t="shared" si="40"/>
        <v>0</v>
      </c>
      <c r="BS35" s="132">
        <f t="shared" si="41"/>
        <v>0</v>
      </c>
      <c r="BT35" s="149">
        <f t="shared" si="42"/>
        <v>0</v>
      </c>
    </row>
    <row r="36" spans="1:72" x14ac:dyDescent="0.2">
      <c r="A36" t="s">
        <v>75</v>
      </c>
      <c r="B36" s="113"/>
      <c r="C36" s="188"/>
      <c r="D36" s="188"/>
      <c r="E36" s="188"/>
      <c r="F36" s="189"/>
      <c r="G36" s="188"/>
      <c r="H36" s="190"/>
      <c r="I36" s="113"/>
      <c r="J36" s="188"/>
      <c r="K36" s="188"/>
      <c r="L36" s="188"/>
      <c r="M36" s="189">
        <f t="shared" si="23"/>
        <v>0</v>
      </c>
      <c r="N36" s="188"/>
      <c r="O36" s="190">
        <f t="shared" si="24"/>
        <v>0</v>
      </c>
      <c r="P36" s="115"/>
      <c r="Q36" s="66"/>
      <c r="R36" s="66"/>
      <c r="S36" s="66"/>
      <c r="T36" s="132">
        <f t="shared" si="25"/>
        <v>0</v>
      </c>
      <c r="U36" s="66">
        <v>300</v>
      </c>
      <c r="V36" s="208">
        <f t="shared" si="26"/>
        <v>0</v>
      </c>
      <c r="W36" s="113"/>
      <c r="X36" s="188"/>
      <c r="Y36" s="188"/>
      <c r="Z36" s="188"/>
      <c r="AA36" s="189">
        <f t="shared" si="27"/>
        <v>0</v>
      </c>
      <c r="AB36" s="188"/>
      <c r="AC36" s="190">
        <f t="shared" si="28"/>
        <v>0</v>
      </c>
      <c r="AD36" s="283">
        <v>1008</v>
      </c>
      <c r="AE36" s="285"/>
      <c r="AF36" s="66"/>
      <c r="AG36" s="66"/>
      <c r="AH36" s="66"/>
      <c r="AI36" s="132">
        <f t="shared" si="22"/>
        <v>0</v>
      </c>
      <c r="AJ36" s="66">
        <v>125</v>
      </c>
      <c r="AK36" s="153">
        <f t="shared" si="29"/>
        <v>0</v>
      </c>
      <c r="AL36" s="297">
        <v>100220</v>
      </c>
      <c r="AM36" s="285"/>
      <c r="AN36" s="66"/>
      <c r="AO36" s="66"/>
      <c r="AP36" s="66"/>
      <c r="AQ36" s="132">
        <f t="shared" si="30"/>
        <v>0</v>
      </c>
      <c r="AR36" s="66">
        <v>176</v>
      </c>
      <c r="AS36" s="153">
        <f t="shared" si="31"/>
        <v>0</v>
      </c>
      <c r="AT36" s="188"/>
      <c r="AU36" s="188"/>
      <c r="AV36" s="188"/>
      <c r="AW36" s="188"/>
      <c r="AX36" s="189">
        <f t="shared" si="32"/>
        <v>0</v>
      </c>
      <c r="AY36" s="188"/>
      <c r="AZ36" s="190">
        <f t="shared" si="33"/>
        <v>0</v>
      </c>
      <c r="BA36" s="66"/>
      <c r="BB36" s="66"/>
      <c r="BC36" s="66"/>
      <c r="BD36" s="66"/>
      <c r="BE36" s="132">
        <f t="shared" si="34"/>
        <v>0</v>
      </c>
      <c r="BF36" s="25"/>
      <c r="BG36" s="151">
        <f t="shared" si="35"/>
        <v>0</v>
      </c>
      <c r="BH36" s="113"/>
      <c r="BI36" s="188"/>
      <c r="BJ36" s="188"/>
      <c r="BK36" s="188"/>
      <c r="BL36" s="189">
        <f t="shared" si="36"/>
        <v>0</v>
      </c>
      <c r="BM36" s="188"/>
      <c r="BN36" s="191">
        <f t="shared" si="37"/>
        <v>0</v>
      </c>
      <c r="BO36" s="197">
        <f t="shared" si="43"/>
        <v>0</v>
      </c>
      <c r="BP36" s="188">
        <f t="shared" si="38"/>
        <v>0</v>
      </c>
      <c r="BQ36" s="188">
        <f t="shared" si="39"/>
        <v>0</v>
      </c>
      <c r="BR36" s="188">
        <f t="shared" si="40"/>
        <v>0</v>
      </c>
      <c r="BS36" s="132">
        <f t="shared" si="41"/>
        <v>0</v>
      </c>
      <c r="BT36" s="149">
        <f t="shared" si="42"/>
        <v>0</v>
      </c>
    </row>
    <row r="37" spans="1:72" x14ac:dyDescent="0.2">
      <c r="A37" t="s">
        <v>76</v>
      </c>
      <c r="B37" s="113"/>
      <c r="C37" s="188"/>
      <c r="D37" s="188"/>
      <c r="E37" s="188"/>
      <c r="F37" s="189"/>
      <c r="G37" s="188"/>
      <c r="H37" s="190"/>
      <c r="I37" s="113"/>
      <c r="J37" s="188"/>
      <c r="K37" s="188"/>
      <c r="L37" s="188"/>
      <c r="M37" s="189">
        <f t="shared" si="23"/>
        <v>0</v>
      </c>
      <c r="N37" s="188"/>
      <c r="O37" s="190">
        <f t="shared" si="24"/>
        <v>0</v>
      </c>
      <c r="P37" s="115"/>
      <c r="Q37" s="66"/>
      <c r="R37" s="66"/>
      <c r="S37" s="66"/>
      <c r="T37" s="132">
        <f t="shared" si="25"/>
        <v>0</v>
      </c>
      <c r="U37" s="66">
        <v>280</v>
      </c>
      <c r="V37" s="208">
        <f t="shared" si="26"/>
        <v>0</v>
      </c>
      <c r="W37" s="113"/>
      <c r="X37" s="188"/>
      <c r="Y37" s="188"/>
      <c r="Z37" s="188"/>
      <c r="AA37" s="189">
        <f t="shared" si="27"/>
        <v>0</v>
      </c>
      <c r="AB37" s="188"/>
      <c r="AC37" s="190">
        <f t="shared" si="28"/>
        <v>0</v>
      </c>
      <c r="AD37" s="283">
        <v>1003</v>
      </c>
      <c r="AE37" s="285"/>
      <c r="AF37" s="66"/>
      <c r="AG37" s="66"/>
      <c r="AH37" s="66"/>
      <c r="AI37" s="132">
        <f t="shared" si="22"/>
        <v>0</v>
      </c>
      <c r="AJ37" s="66">
        <v>385</v>
      </c>
      <c r="AK37" s="153">
        <f t="shared" si="29"/>
        <v>0</v>
      </c>
      <c r="AL37" s="297">
        <v>100110</v>
      </c>
      <c r="AM37" s="285"/>
      <c r="AN37" s="66"/>
      <c r="AO37" s="66"/>
      <c r="AP37" s="66"/>
      <c r="AQ37" s="132">
        <f t="shared" si="30"/>
        <v>0</v>
      </c>
      <c r="AR37" s="66">
        <v>176</v>
      </c>
      <c r="AS37" s="153">
        <f t="shared" si="31"/>
        <v>0</v>
      </c>
      <c r="AT37" s="188"/>
      <c r="AU37" s="188"/>
      <c r="AV37" s="188"/>
      <c r="AW37" s="188"/>
      <c r="AX37" s="189">
        <f t="shared" si="32"/>
        <v>0</v>
      </c>
      <c r="AY37" s="188"/>
      <c r="AZ37" s="190">
        <f t="shared" si="33"/>
        <v>0</v>
      </c>
      <c r="BA37" s="24"/>
      <c r="BB37" s="66"/>
      <c r="BC37" s="66"/>
      <c r="BD37" s="66"/>
      <c r="BE37" s="132">
        <f t="shared" si="34"/>
        <v>0</v>
      </c>
      <c r="BF37" s="25">
        <v>282</v>
      </c>
      <c r="BG37" s="151">
        <f t="shared" si="35"/>
        <v>0</v>
      </c>
      <c r="BH37" s="113"/>
      <c r="BI37" s="188"/>
      <c r="BJ37" s="188"/>
      <c r="BK37" s="188"/>
      <c r="BL37" s="189">
        <f t="shared" si="36"/>
        <v>0</v>
      </c>
      <c r="BM37" s="188"/>
      <c r="BN37" s="191">
        <f t="shared" si="37"/>
        <v>0</v>
      </c>
      <c r="BO37" s="197">
        <f t="shared" si="43"/>
        <v>0</v>
      </c>
      <c r="BP37" s="188">
        <f t="shared" si="38"/>
        <v>0</v>
      </c>
      <c r="BQ37" s="188">
        <f t="shared" si="39"/>
        <v>0</v>
      </c>
      <c r="BR37" s="188">
        <f t="shared" si="40"/>
        <v>0</v>
      </c>
      <c r="BS37" s="132">
        <f t="shared" si="41"/>
        <v>0</v>
      </c>
      <c r="BT37" s="149">
        <f t="shared" si="42"/>
        <v>0</v>
      </c>
    </row>
    <row r="38" spans="1:72" x14ac:dyDescent="0.2">
      <c r="A38" t="s">
        <v>125</v>
      </c>
      <c r="B38" s="113"/>
      <c r="C38" s="188"/>
      <c r="D38" s="188"/>
      <c r="E38" s="188"/>
      <c r="F38" s="189"/>
      <c r="G38" s="188"/>
      <c r="H38" s="190"/>
      <c r="I38" s="113"/>
      <c r="J38" s="188"/>
      <c r="K38" s="188"/>
      <c r="L38" s="188"/>
      <c r="M38" s="189">
        <f t="shared" si="23"/>
        <v>0</v>
      </c>
      <c r="N38" s="188"/>
      <c r="O38" s="190">
        <f t="shared" si="24"/>
        <v>0</v>
      </c>
      <c r="P38" s="115"/>
      <c r="Q38" s="66"/>
      <c r="R38" s="66"/>
      <c r="S38" s="66"/>
      <c r="T38" s="132">
        <f t="shared" si="25"/>
        <v>0</v>
      </c>
      <c r="U38" s="66">
        <v>250</v>
      </c>
      <c r="V38" s="208">
        <f t="shared" si="26"/>
        <v>0</v>
      </c>
      <c r="W38" s="113"/>
      <c r="X38" s="188"/>
      <c r="Y38" s="188"/>
      <c r="Z38" s="188"/>
      <c r="AA38" s="189">
        <f t="shared" si="27"/>
        <v>0</v>
      </c>
      <c r="AB38" s="188"/>
      <c r="AC38" s="190">
        <f t="shared" si="28"/>
        <v>0</v>
      </c>
      <c r="AD38" s="283"/>
      <c r="AE38" s="285"/>
      <c r="AF38" s="66"/>
      <c r="AG38" s="66"/>
      <c r="AH38" s="66"/>
      <c r="AI38" s="132"/>
      <c r="AJ38" s="66"/>
      <c r="AK38" s="153"/>
      <c r="AL38" s="283"/>
      <c r="AM38" s="285"/>
      <c r="AN38" s="66"/>
      <c r="AO38" s="66"/>
      <c r="AP38" s="66"/>
      <c r="AQ38" s="132">
        <f t="shared" si="30"/>
        <v>0</v>
      </c>
      <c r="AR38" s="66"/>
      <c r="AS38" s="153">
        <f t="shared" si="31"/>
        <v>0</v>
      </c>
      <c r="AT38" s="188"/>
      <c r="AU38" s="188"/>
      <c r="AV38" s="188"/>
      <c r="AW38" s="188"/>
      <c r="AX38" s="189">
        <f t="shared" si="32"/>
        <v>0</v>
      </c>
      <c r="AY38" s="188"/>
      <c r="AZ38" s="190">
        <f t="shared" si="33"/>
        <v>0</v>
      </c>
      <c r="BA38" s="66"/>
      <c r="BB38" s="66"/>
      <c r="BC38" s="66"/>
      <c r="BD38" s="66"/>
      <c r="BE38" s="132">
        <f t="shared" si="34"/>
        <v>0</v>
      </c>
      <c r="BF38" s="25"/>
      <c r="BG38" s="151">
        <f t="shared" si="35"/>
        <v>0</v>
      </c>
      <c r="BH38" s="113"/>
      <c r="BI38" s="188"/>
      <c r="BJ38" s="188"/>
      <c r="BK38" s="188"/>
      <c r="BL38" s="189">
        <f t="shared" si="36"/>
        <v>0</v>
      </c>
      <c r="BM38" s="188"/>
      <c r="BN38" s="191">
        <f t="shared" si="37"/>
        <v>0</v>
      </c>
      <c r="BO38" s="197">
        <f t="shared" si="43"/>
        <v>0</v>
      </c>
      <c r="BP38" s="188">
        <f t="shared" si="38"/>
        <v>0</v>
      </c>
      <c r="BQ38" s="188">
        <f t="shared" si="39"/>
        <v>0</v>
      </c>
      <c r="BR38" s="188">
        <f t="shared" si="40"/>
        <v>0</v>
      </c>
      <c r="BS38" s="132">
        <f t="shared" si="41"/>
        <v>0</v>
      </c>
      <c r="BT38" s="149">
        <f t="shared" si="42"/>
        <v>0</v>
      </c>
    </row>
    <row r="39" spans="1:72" x14ac:dyDescent="0.2">
      <c r="A39" t="s">
        <v>126</v>
      </c>
      <c r="B39" s="113"/>
      <c r="C39" s="188"/>
      <c r="D39" s="188"/>
      <c r="E39" s="188"/>
      <c r="F39" s="189"/>
      <c r="G39" s="188"/>
      <c r="H39" s="190"/>
      <c r="I39" s="113"/>
      <c r="J39" s="188"/>
      <c r="K39" s="188"/>
      <c r="L39" s="188"/>
      <c r="M39" s="189"/>
      <c r="N39" s="188"/>
      <c r="O39" s="190"/>
      <c r="P39" s="115"/>
      <c r="Q39" s="66"/>
      <c r="R39" s="66"/>
      <c r="S39" s="66"/>
      <c r="T39" s="132">
        <f t="shared" si="25"/>
        <v>0</v>
      </c>
      <c r="U39" s="66">
        <v>300</v>
      </c>
      <c r="V39" s="208">
        <f t="shared" si="26"/>
        <v>0</v>
      </c>
      <c r="W39" s="113"/>
      <c r="X39" s="188"/>
      <c r="Y39" s="188"/>
      <c r="Z39" s="188"/>
      <c r="AA39" s="189"/>
      <c r="AB39" s="188"/>
      <c r="AC39" s="190"/>
      <c r="AD39" s="283"/>
      <c r="AE39" s="285"/>
      <c r="AF39" s="66"/>
      <c r="AG39" s="66"/>
      <c r="AH39" s="66"/>
      <c r="AI39" s="132"/>
      <c r="AJ39" s="66"/>
      <c r="AK39" s="153"/>
      <c r="AL39" s="283"/>
      <c r="AM39" s="285"/>
      <c r="AN39" s="66"/>
      <c r="AO39" s="66"/>
      <c r="AP39" s="66"/>
      <c r="AQ39" s="132"/>
      <c r="AR39" s="66"/>
      <c r="AS39" s="153"/>
      <c r="AT39" s="188"/>
      <c r="AU39" s="188"/>
      <c r="AV39" s="188"/>
      <c r="AW39" s="188"/>
      <c r="AX39" s="189"/>
      <c r="AY39" s="188"/>
      <c r="AZ39" s="190"/>
      <c r="BA39" s="66"/>
      <c r="BB39" s="66"/>
      <c r="BC39" s="66"/>
      <c r="BD39" s="66"/>
      <c r="BE39" s="132">
        <f>SUM(BA39:BD39)</f>
        <v>0</v>
      </c>
      <c r="BF39" s="25"/>
      <c r="BG39" s="151">
        <f>BE39*BF39</f>
        <v>0</v>
      </c>
      <c r="BH39" s="113"/>
      <c r="BI39" s="188"/>
      <c r="BJ39" s="188"/>
      <c r="BK39" s="188"/>
      <c r="BL39" s="189">
        <f t="shared" si="36"/>
        <v>0</v>
      </c>
      <c r="BM39" s="188"/>
      <c r="BN39" s="191"/>
      <c r="BO39" s="197">
        <f t="shared" si="43"/>
        <v>0</v>
      </c>
      <c r="BP39" s="188">
        <f t="shared" si="38"/>
        <v>0</v>
      </c>
      <c r="BQ39" s="188">
        <f t="shared" si="39"/>
        <v>0</v>
      </c>
      <c r="BR39" s="188">
        <f t="shared" si="40"/>
        <v>0</v>
      </c>
      <c r="BS39" s="132">
        <f>SUM(BO39:BR39)</f>
        <v>0</v>
      </c>
      <c r="BT39" s="149">
        <f t="shared" si="42"/>
        <v>0</v>
      </c>
    </row>
    <row r="40" spans="1:72" x14ac:dyDescent="0.2">
      <c r="A40" s="279" t="s">
        <v>492</v>
      </c>
      <c r="B40" s="113"/>
      <c r="C40" s="188"/>
      <c r="D40" s="188"/>
      <c r="E40" s="188"/>
      <c r="F40" s="189"/>
      <c r="G40" s="188"/>
      <c r="H40" s="190"/>
      <c r="I40" s="113"/>
      <c r="J40" s="188"/>
      <c r="K40" s="188"/>
      <c r="L40" s="188"/>
      <c r="M40" s="189">
        <f t="shared" si="23"/>
        <v>0</v>
      </c>
      <c r="N40" s="188"/>
      <c r="O40" s="190">
        <f t="shared" si="24"/>
        <v>0</v>
      </c>
      <c r="P40" s="115"/>
      <c r="Q40" s="66"/>
      <c r="R40" s="66"/>
      <c r="S40" s="66"/>
      <c r="T40" s="132">
        <f t="shared" si="25"/>
        <v>0</v>
      </c>
      <c r="U40" s="66">
        <v>456</v>
      </c>
      <c r="V40" s="208">
        <f t="shared" si="26"/>
        <v>0</v>
      </c>
      <c r="W40" s="113"/>
      <c r="X40" s="188"/>
      <c r="Y40" s="188"/>
      <c r="Z40" s="188"/>
      <c r="AA40" s="189">
        <f t="shared" si="27"/>
        <v>0</v>
      </c>
      <c r="AB40" s="188"/>
      <c r="AC40" s="190">
        <f t="shared" si="28"/>
        <v>0</v>
      </c>
      <c r="AD40" s="115">
        <v>1025</v>
      </c>
      <c r="AE40" s="285"/>
      <c r="AF40" s="66"/>
      <c r="AG40" s="66"/>
      <c r="AH40" s="66"/>
      <c r="AI40" s="132">
        <f>SUM(AE40:AH40)</f>
        <v>0</v>
      </c>
      <c r="AJ40" s="66">
        <v>1070</v>
      </c>
      <c r="AK40" s="153">
        <f>AI40*AJ40</f>
        <v>0</v>
      </c>
      <c r="AL40" s="297">
        <v>100310</v>
      </c>
      <c r="AM40" s="285"/>
      <c r="AN40" s="66"/>
      <c r="AO40" s="66"/>
      <c r="AP40" s="66"/>
      <c r="AQ40" s="132">
        <f t="shared" si="30"/>
        <v>0</v>
      </c>
      <c r="AR40" s="66">
        <v>653</v>
      </c>
      <c r="AS40" s="153">
        <f t="shared" si="31"/>
        <v>0</v>
      </c>
      <c r="AT40" s="188"/>
      <c r="AU40" s="188"/>
      <c r="AV40" s="188"/>
      <c r="AW40" s="188"/>
      <c r="AX40" s="189">
        <f t="shared" si="32"/>
        <v>0</v>
      </c>
      <c r="AY40" s="188"/>
      <c r="AZ40" s="190">
        <f t="shared" si="33"/>
        <v>0</v>
      </c>
      <c r="BA40" s="66"/>
      <c r="BB40" s="66"/>
      <c r="BC40" s="66"/>
      <c r="BD40" s="66"/>
      <c r="BE40" s="132">
        <f t="shared" si="34"/>
        <v>0</v>
      </c>
      <c r="BF40" s="25"/>
      <c r="BG40" s="151">
        <f t="shared" si="35"/>
        <v>0</v>
      </c>
      <c r="BH40" s="113"/>
      <c r="BI40" s="188"/>
      <c r="BJ40" s="188"/>
      <c r="BK40" s="188"/>
      <c r="BL40" s="189">
        <f t="shared" si="36"/>
        <v>0</v>
      </c>
      <c r="BM40" s="188"/>
      <c r="BN40" s="191">
        <f t="shared" si="37"/>
        <v>0</v>
      </c>
      <c r="BO40" s="197">
        <f t="shared" si="43"/>
        <v>0</v>
      </c>
      <c r="BP40" s="188">
        <f t="shared" si="38"/>
        <v>0</v>
      </c>
      <c r="BQ40" s="188">
        <f t="shared" si="39"/>
        <v>0</v>
      </c>
      <c r="BR40" s="188">
        <f t="shared" si="40"/>
        <v>0</v>
      </c>
      <c r="BS40" s="132">
        <f t="shared" si="41"/>
        <v>0</v>
      </c>
      <c r="BT40" s="149">
        <f t="shared" si="42"/>
        <v>0</v>
      </c>
    </row>
    <row r="41" spans="1:72" x14ac:dyDescent="0.2">
      <c r="A41" t="s">
        <v>124</v>
      </c>
      <c r="B41" s="113"/>
      <c r="C41" s="188"/>
      <c r="D41" s="188"/>
      <c r="E41" s="188"/>
      <c r="F41" s="189"/>
      <c r="G41" s="188"/>
      <c r="H41" s="190"/>
      <c r="I41" s="113"/>
      <c r="J41" s="188"/>
      <c r="K41" s="188"/>
      <c r="L41" s="188"/>
      <c r="M41" s="189"/>
      <c r="N41" s="188"/>
      <c r="O41" s="190"/>
      <c r="P41" s="115"/>
      <c r="Q41" s="66"/>
      <c r="R41" s="66"/>
      <c r="S41" s="66"/>
      <c r="T41" s="132">
        <f t="shared" si="25"/>
        <v>0</v>
      </c>
      <c r="U41" s="66">
        <v>65</v>
      </c>
      <c r="V41" s="208">
        <f t="shared" si="26"/>
        <v>0</v>
      </c>
      <c r="W41" s="113"/>
      <c r="X41" s="188"/>
      <c r="Y41" s="188"/>
      <c r="Z41" s="188"/>
      <c r="AA41" s="189"/>
      <c r="AB41" s="188"/>
      <c r="AC41" s="190"/>
      <c r="AD41" s="283"/>
      <c r="AE41" s="285"/>
      <c r="AF41" s="66"/>
      <c r="AG41" s="66"/>
      <c r="AH41" s="66"/>
      <c r="AI41" s="132"/>
      <c r="AJ41" s="66"/>
      <c r="AK41" s="153"/>
      <c r="AL41" s="283"/>
      <c r="AM41" s="285"/>
      <c r="AN41" s="66"/>
      <c r="AO41" s="66"/>
      <c r="AP41" s="66"/>
      <c r="AQ41" s="132"/>
      <c r="AR41" s="66"/>
      <c r="AS41" s="153"/>
      <c r="AT41" s="188"/>
      <c r="AU41" s="188"/>
      <c r="AV41" s="188"/>
      <c r="AW41" s="188"/>
      <c r="AX41" s="189"/>
      <c r="AY41" s="188"/>
      <c r="AZ41" s="190"/>
      <c r="BA41" s="66"/>
      <c r="BB41" s="66"/>
      <c r="BC41" s="66"/>
      <c r="BD41" s="66"/>
      <c r="BE41" s="132">
        <f t="shared" si="34"/>
        <v>0</v>
      </c>
      <c r="BF41" s="25"/>
      <c r="BG41" s="151">
        <f t="shared" si="35"/>
        <v>0</v>
      </c>
      <c r="BH41" s="113"/>
      <c r="BI41" s="188"/>
      <c r="BJ41" s="188"/>
      <c r="BK41" s="188"/>
      <c r="BL41" s="189">
        <f t="shared" si="36"/>
        <v>0</v>
      </c>
      <c r="BM41" s="188"/>
      <c r="BN41" s="191"/>
      <c r="BO41" s="197">
        <f t="shared" si="43"/>
        <v>0</v>
      </c>
      <c r="BP41" s="188">
        <f t="shared" si="38"/>
        <v>0</v>
      </c>
      <c r="BQ41" s="188">
        <f t="shared" si="39"/>
        <v>0</v>
      </c>
      <c r="BR41" s="188">
        <f t="shared" si="40"/>
        <v>0</v>
      </c>
      <c r="BS41" s="132">
        <f>SUM(BO41:BR41)</f>
        <v>0</v>
      </c>
      <c r="BT41" s="149">
        <f t="shared" si="42"/>
        <v>0</v>
      </c>
    </row>
    <row r="42" spans="1:72" x14ac:dyDescent="0.2">
      <c r="A42" t="s">
        <v>77</v>
      </c>
      <c r="B42" s="113"/>
      <c r="C42" s="188"/>
      <c r="D42" s="188"/>
      <c r="E42" s="188"/>
      <c r="F42" s="189"/>
      <c r="G42" s="188"/>
      <c r="H42" s="190"/>
      <c r="I42" s="113"/>
      <c r="J42" s="188"/>
      <c r="K42" s="188"/>
      <c r="L42" s="188"/>
      <c r="M42" s="189">
        <f t="shared" si="23"/>
        <v>0</v>
      </c>
      <c r="N42" s="188"/>
      <c r="O42" s="190">
        <f t="shared" si="24"/>
        <v>0</v>
      </c>
      <c r="P42" s="115"/>
      <c r="Q42" s="66"/>
      <c r="R42" s="66"/>
      <c r="S42" s="66"/>
      <c r="T42" s="132">
        <f t="shared" si="25"/>
        <v>0</v>
      </c>
      <c r="U42" s="66">
        <v>1050</v>
      </c>
      <c r="V42" s="208">
        <f t="shared" si="26"/>
        <v>0</v>
      </c>
      <c r="W42" s="113"/>
      <c r="X42" s="188"/>
      <c r="Y42" s="188"/>
      <c r="Z42" s="188"/>
      <c r="AA42" s="189">
        <f t="shared" si="27"/>
        <v>0</v>
      </c>
      <c r="AB42" s="188"/>
      <c r="AC42" s="190">
        <f t="shared" si="28"/>
        <v>0</v>
      </c>
      <c r="AD42" s="283">
        <v>1028</v>
      </c>
      <c r="AE42" s="285"/>
      <c r="AF42" s="66"/>
      <c r="AG42" s="66"/>
      <c r="AH42" s="66"/>
      <c r="AI42" s="132">
        <f>SUM(AE42:AH42)</f>
        <v>0</v>
      </c>
      <c r="AJ42" s="66">
        <v>1950</v>
      </c>
      <c r="AK42" s="153">
        <f>AI42*AJ42</f>
        <v>0</v>
      </c>
      <c r="AL42" s="296"/>
      <c r="AM42" s="285"/>
      <c r="AN42" s="66"/>
      <c r="AO42" s="66"/>
      <c r="AP42" s="66"/>
      <c r="AQ42" s="132"/>
      <c r="AR42" s="66"/>
      <c r="AS42" s="153"/>
      <c r="AT42" s="188"/>
      <c r="AU42" s="188"/>
      <c r="AV42" s="188"/>
      <c r="AW42" s="188"/>
      <c r="AX42" s="189">
        <f t="shared" si="32"/>
        <v>0</v>
      </c>
      <c r="AY42" s="188"/>
      <c r="AZ42" s="190">
        <f t="shared" si="33"/>
        <v>0</v>
      </c>
      <c r="BA42" s="66"/>
      <c r="BB42" s="66"/>
      <c r="BC42" s="66"/>
      <c r="BD42" s="66"/>
      <c r="BE42" s="132">
        <f t="shared" si="34"/>
        <v>0</v>
      </c>
      <c r="BF42" s="25"/>
      <c r="BG42" s="151">
        <f t="shared" si="35"/>
        <v>0</v>
      </c>
      <c r="BH42" s="113"/>
      <c r="BI42" s="188"/>
      <c r="BJ42" s="188"/>
      <c r="BK42" s="188"/>
      <c r="BL42" s="189">
        <f t="shared" si="36"/>
        <v>0</v>
      </c>
      <c r="BM42" s="188"/>
      <c r="BN42" s="191">
        <f t="shared" si="37"/>
        <v>0</v>
      </c>
      <c r="BO42" s="197">
        <f t="shared" si="43"/>
        <v>0</v>
      </c>
      <c r="BP42" s="188">
        <f t="shared" si="38"/>
        <v>0</v>
      </c>
      <c r="BQ42" s="188">
        <f t="shared" si="39"/>
        <v>0</v>
      </c>
      <c r="BR42" s="188">
        <f t="shared" si="40"/>
        <v>0</v>
      </c>
      <c r="BS42" s="132">
        <f t="shared" si="41"/>
        <v>0</v>
      </c>
      <c r="BT42" s="149">
        <f t="shared" si="42"/>
        <v>0</v>
      </c>
    </row>
    <row r="43" spans="1:72" x14ac:dyDescent="0.2">
      <c r="A43" s="279" t="s">
        <v>494</v>
      </c>
      <c r="B43" s="113"/>
      <c r="C43" s="188"/>
      <c r="D43" s="188"/>
      <c r="E43" s="188"/>
      <c r="F43" s="189"/>
      <c r="G43" s="188"/>
      <c r="H43" s="190"/>
      <c r="I43" s="113"/>
      <c r="J43" s="188"/>
      <c r="K43" s="188"/>
      <c r="L43" s="188"/>
      <c r="M43" s="189"/>
      <c r="N43" s="188"/>
      <c r="O43" s="190"/>
      <c r="P43" s="115"/>
      <c r="Q43" s="66"/>
      <c r="R43" s="66"/>
      <c r="S43" s="66"/>
      <c r="T43" s="132"/>
      <c r="U43" s="66"/>
      <c r="V43" s="208"/>
      <c r="W43" s="113"/>
      <c r="X43" s="188"/>
      <c r="Y43" s="188"/>
      <c r="Z43" s="188"/>
      <c r="AA43" s="189"/>
      <c r="AB43" s="188"/>
      <c r="AC43" s="190"/>
      <c r="AD43" s="283"/>
      <c r="AE43" s="285"/>
      <c r="AF43" s="66"/>
      <c r="AG43" s="66"/>
      <c r="AH43" s="66"/>
      <c r="AI43" s="132"/>
      <c r="AJ43" s="66"/>
      <c r="AK43" s="153"/>
      <c r="AL43" s="296">
        <v>100330</v>
      </c>
      <c r="AM43" s="285"/>
      <c r="AN43" s="66"/>
      <c r="AO43" s="66"/>
      <c r="AP43" s="66"/>
      <c r="AQ43" s="132">
        <f t="shared" ref="AQ43" si="44">SUM(AM43:AP43)</f>
        <v>0</v>
      </c>
      <c r="AR43" s="66">
        <v>1205</v>
      </c>
      <c r="AS43" s="153">
        <f t="shared" ref="AS43" si="45">AQ43*AR43</f>
        <v>0</v>
      </c>
      <c r="AT43" s="188"/>
      <c r="AU43" s="188"/>
      <c r="AV43" s="188"/>
      <c r="AW43" s="188"/>
      <c r="AX43" s="189"/>
      <c r="AY43" s="188"/>
      <c r="AZ43" s="190"/>
      <c r="BA43" s="66"/>
      <c r="BB43" s="66"/>
      <c r="BC43" s="66"/>
      <c r="BD43" s="66"/>
      <c r="BE43" s="132"/>
      <c r="BF43" s="25"/>
      <c r="BG43" s="151"/>
      <c r="BH43" s="113"/>
      <c r="BI43" s="188"/>
      <c r="BJ43" s="188"/>
      <c r="BK43" s="188"/>
      <c r="BL43" s="189"/>
      <c r="BM43" s="188"/>
      <c r="BN43" s="191"/>
      <c r="BO43" s="197">
        <f t="shared" ref="BO43" si="46">B43+I43+P43+W43+AE43+AM43+AT43+BA43+BH43</f>
        <v>0</v>
      </c>
      <c r="BP43" s="188">
        <f t="shared" ref="BP43" si="47">C43+J43+Q43+X43+AF43+AN43+AU43+BB43+BI43</f>
        <v>0</v>
      </c>
      <c r="BQ43" s="188">
        <f t="shared" ref="BQ43" si="48">D43+K43+R43+Y43+AG43+AO43+AV43+BC43+BJ43</f>
        <v>0</v>
      </c>
      <c r="BR43" s="188">
        <f t="shared" ref="BR43" si="49">E43+L43+S43+Z43+AH43+AP43+AW43+BD43+BK43</f>
        <v>0</v>
      </c>
      <c r="BS43" s="132">
        <f t="shared" ref="BS43" si="50">SUM(BO43:BR43)</f>
        <v>0</v>
      </c>
      <c r="BT43" s="149">
        <f t="shared" ref="BT43" si="51">H43+O43+V43+AC43+AK43+AS43+AZ43+BG43+BN43</f>
        <v>0</v>
      </c>
    </row>
    <row r="44" spans="1:72" x14ac:dyDescent="0.2">
      <c r="A44" t="s">
        <v>78</v>
      </c>
      <c r="B44" s="113"/>
      <c r="C44" s="188"/>
      <c r="D44" s="188"/>
      <c r="E44" s="188"/>
      <c r="F44" s="189"/>
      <c r="G44" s="188"/>
      <c r="H44" s="190"/>
      <c r="I44" s="113"/>
      <c r="J44" s="188"/>
      <c r="K44" s="188"/>
      <c r="L44" s="188"/>
      <c r="M44" s="189">
        <f t="shared" si="23"/>
        <v>0</v>
      </c>
      <c r="N44" s="188"/>
      <c r="O44" s="190">
        <f t="shared" si="24"/>
        <v>0</v>
      </c>
      <c r="P44" s="115"/>
      <c r="Q44" s="66"/>
      <c r="R44" s="66"/>
      <c r="S44" s="66"/>
      <c r="T44" s="132">
        <f t="shared" si="25"/>
        <v>0</v>
      </c>
      <c r="U44" s="66">
        <v>800</v>
      </c>
      <c r="V44" s="208">
        <f t="shared" si="26"/>
        <v>0</v>
      </c>
      <c r="W44" s="113"/>
      <c r="X44" s="188"/>
      <c r="Y44" s="188"/>
      <c r="Z44" s="188"/>
      <c r="AA44" s="189">
        <f t="shared" si="27"/>
        <v>0</v>
      </c>
      <c r="AB44" s="188"/>
      <c r="AC44" s="190">
        <f t="shared" si="28"/>
        <v>0</v>
      </c>
      <c r="AD44" s="283">
        <v>1026</v>
      </c>
      <c r="AE44" s="285"/>
      <c r="AF44" s="66"/>
      <c r="AG44" s="66"/>
      <c r="AH44" s="66"/>
      <c r="AI44" s="132">
        <f>SUM(AE44:AH44)</f>
        <v>0</v>
      </c>
      <c r="AJ44" s="66">
        <v>1070</v>
      </c>
      <c r="AK44" s="153">
        <f>AI44*AJ44</f>
        <v>0</v>
      </c>
      <c r="AL44" s="297">
        <v>100300</v>
      </c>
      <c r="AM44" s="285"/>
      <c r="AN44" s="66"/>
      <c r="AO44" s="66"/>
      <c r="AP44" s="66"/>
      <c r="AQ44" s="132">
        <f t="shared" si="30"/>
        <v>0</v>
      </c>
      <c r="AR44" s="66">
        <v>1054</v>
      </c>
      <c r="AS44" s="153">
        <f t="shared" si="31"/>
        <v>0</v>
      </c>
      <c r="AT44" s="188"/>
      <c r="AU44" s="188"/>
      <c r="AV44" s="188"/>
      <c r="AW44" s="188"/>
      <c r="AX44" s="189">
        <f t="shared" si="32"/>
        <v>0</v>
      </c>
      <c r="AY44" s="188"/>
      <c r="AZ44" s="190">
        <f t="shared" si="33"/>
        <v>0</v>
      </c>
      <c r="BA44" s="66"/>
      <c r="BB44" s="66"/>
      <c r="BC44" s="66"/>
      <c r="BD44" s="66"/>
      <c r="BE44" s="132">
        <f t="shared" si="34"/>
        <v>0</v>
      </c>
      <c r="BF44" s="25"/>
      <c r="BG44" s="151">
        <f t="shared" si="35"/>
        <v>0</v>
      </c>
      <c r="BH44" s="113"/>
      <c r="BI44" s="188"/>
      <c r="BJ44" s="188"/>
      <c r="BK44" s="188"/>
      <c r="BL44" s="189">
        <f t="shared" si="36"/>
        <v>0</v>
      </c>
      <c r="BM44" s="188"/>
      <c r="BN44" s="191">
        <f t="shared" si="37"/>
        <v>0</v>
      </c>
      <c r="BO44" s="197">
        <f t="shared" si="43"/>
        <v>0</v>
      </c>
      <c r="BP44" s="188">
        <f t="shared" si="38"/>
        <v>0</v>
      </c>
      <c r="BQ44" s="188">
        <f t="shared" si="39"/>
        <v>0</v>
      </c>
      <c r="BR44" s="188">
        <f t="shared" si="40"/>
        <v>0</v>
      </c>
      <c r="BS44" s="132">
        <f t="shared" si="41"/>
        <v>0</v>
      </c>
      <c r="BT44" s="149">
        <f t="shared" si="42"/>
        <v>0</v>
      </c>
    </row>
    <row r="45" spans="1:72" x14ac:dyDescent="0.2">
      <c r="A45" t="s">
        <v>127</v>
      </c>
      <c r="B45" s="113"/>
      <c r="C45" s="188"/>
      <c r="D45" s="188"/>
      <c r="E45" s="188"/>
      <c r="F45" s="189"/>
      <c r="G45" s="188"/>
      <c r="H45" s="190"/>
      <c r="I45" s="113"/>
      <c r="J45" s="188"/>
      <c r="K45" s="188"/>
      <c r="L45" s="188"/>
      <c r="M45" s="189">
        <f t="shared" si="23"/>
        <v>0</v>
      </c>
      <c r="N45" s="188"/>
      <c r="O45" s="190">
        <f t="shared" si="24"/>
        <v>0</v>
      </c>
      <c r="P45" s="115"/>
      <c r="Q45" s="66"/>
      <c r="R45" s="66"/>
      <c r="S45" s="66"/>
      <c r="T45" s="132">
        <f t="shared" si="25"/>
        <v>0</v>
      </c>
      <c r="U45" s="66">
        <v>850</v>
      </c>
      <c r="V45" s="208">
        <f t="shared" si="26"/>
        <v>0</v>
      </c>
      <c r="W45" s="113"/>
      <c r="X45" s="188"/>
      <c r="Y45" s="188"/>
      <c r="Z45" s="188"/>
      <c r="AA45" s="189">
        <f t="shared" si="27"/>
        <v>0</v>
      </c>
      <c r="AB45" s="188"/>
      <c r="AC45" s="190">
        <f t="shared" si="28"/>
        <v>0</v>
      </c>
      <c r="AD45" s="283">
        <v>1027</v>
      </c>
      <c r="AE45" s="285"/>
      <c r="AF45" s="66"/>
      <c r="AG45" s="66"/>
      <c r="AH45" s="66"/>
      <c r="AI45" s="132">
        <f>SUM(AE45:AH45)</f>
        <v>0</v>
      </c>
      <c r="AJ45" s="66">
        <v>1250</v>
      </c>
      <c r="AK45" s="153">
        <f>AI45*AJ45</f>
        <v>0</v>
      </c>
      <c r="AL45" s="296">
        <v>100320</v>
      </c>
      <c r="AM45" s="285"/>
      <c r="AN45" s="66"/>
      <c r="AO45" s="66"/>
      <c r="AP45" s="66"/>
      <c r="AQ45" s="132">
        <f t="shared" si="30"/>
        <v>0</v>
      </c>
      <c r="AR45" s="66">
        <v>1205</v>
      </c>
      <c r="AS45" s="153">
        <f t="shared" si="31"/>
        <v>0</v>
      </c>
      <c r="AT45" s="188"/>
      <c r="AU45" s="188"/>
      <c r="AV45" s="188"/>
      <c r="AW45" s="188"/>
      <c r="AX45" s="189">
        <f t="shared" si="32"/>
        <v>0</v>
      </c>
      <c r="AY45" s="188"/>
      <c r="AZ45" s="190">
        <f t="shared" si="33"/>
        <v>0</v>
      </c>
      <c r="BA45" s="66"/>
      <c r="BB45" s="66"/>
      <c r="BC45" s="66"/>
      <c r="BD45" s="66"/>
      <c r="BE45" s="132">
        <f t="shared" si="34"/>
        <v>0</v>
      </c>
      <c r="BF45" s="25"/>
      <c r="BG45" s="151">
        <f t="shared" si="35"/>
        <v>0</v>
      </c>
      <c r="BH45" s="113"/>
      <c r="BI45" s="188"/>
      <c r="BJ45" s="188"/>
      <c r="BK45" s="188"/>
      <c r="BL45" s="189">
        <f t="shared" si="36"/>
        <v>0</v>
      </c>
      <c r="BM45" s="188"/>
      <c r="BN45" s="191">
        <f t="shared" si="37"/>
        <v>0</v>
      </c>
      <c r="BO45" s="197">
        <f t="shared" si="43"/>
        <v>0</v>
      </c>
      <c r="BP45" s="188">
        <f t="shared" si="38"/>
        <v>0</v>
      </c>
      <c r="BQ45" s="188">
        <f t="shared" si="39"/>
        <v>0</v>
      </c>
      <c r="BR45" s="188">
        <f t="shared" si="40"/>
        <v>0</v>
      </c>
      <c r="BS45" s="132">
        <f t="shared" si="41"/>
        <v>0</v>
      </c>
      <c r="BT45" s="149">
        <f t="shared" si="42"/>
        <v>0</v>
      </c>
    </row>
    <row r="46" spans="1:72" x14ac:dyDescent="0.2">
      <c r="A46" t="s">
        <v>88</v>
      </c>
      <c r="B46" s="113"/>
      <c r="C46" s="188"/>
      <c r="D46" s="188"/>
      <c r="E46" s="188"/>
      <c r="F46" s="189"/>
      <c r="G46" s="188"/>
      <c r="H46" s="190"/>
      <c r="I46" s="113"/>
      <c r="J46" s="188"/>
      <c r="K46" s="188"/>
      <c r="L46" s="188"/>
      <c r="M46" s="189">
        <f t="shared" si="23"/>
        <v>0</v>
      </c>
      <c r="N46" s="188"/>
      <c r="O46" s="190">
        <f t="shared" si="24"/>
        <v>0</v>
      </c>
      <c r="P46" s="115"/>
      <c r="Q46" s="66"/>
      <c r="R46" s="66"/>
      <c r="S46" s="66"/>
      <c r="T46" s="132">
        <f t="shared" si="25"/>
        <v>0</v>
      </c>
      <c r="U46" s="66">
        <v>65</v>
      </c>
      <c r="V46" s="208">
        <f t="shared" si="26"/>
        <v>0</v>
      </c>
      <c r="W46" s="113"/>
      <c r="X46" s="188"/>
      <c r="Y46" s="188"/>
      <c r="Z46" s="188"/>
      <c r="AA46" s="189">
        <f t="shared" si="27"/>
        <v>0</v>
      </c>
      <c r="AB46" s="188"/>
      <c r="AC46" s="190">
        <f t="shared" si="28"/>
        <v>0</v>
      </c>
      <c r="AD46" s="283">
        <v>1021</v>
      </c>
      <c r="AE46" s="285"/>
      <c r="AF46" s="66"/>
      <c r="AG46" s="66"/>
      <c r="AH46" s="66"/>
      <c r="AI46" s="132">
        <f>SUM(AE46:AH46)</f>
        <v>0</v>
      </c>
      <c r="AJ46" s="66">
        <v>0</v>
      </c>
      <c r="AK46" s="153">
        <f>AI46*AJ46</f>
        <v>0</v>
      </c>
      <c r="AL46" s="296">
        <v>100410</v>
      </c>
      <c r="AM46" s="285"/>
      <c r="AN46" s="66"/>
      <c r="AO46" s="66"/>
      <c r="AP46" s="66"/>
      <c r="AQ46" s="132">
        <f t="shared" si="30"/>
        <v>0</v>
      </c>
      <c r="AR46" s="66">
        <v>50</v>
      </c>
      <c r="AS46" s="153">
        <f t="shared" si="31"/>
        <v>0</v>
      </c>
      <c r="AT46" s="188"/>
      <c r="AU46" s="188"/>
      <c r="AV46" s="188"/>
      <c r="AW46" s="188"/>
      <c r="AX46" s="189">
        <f t="shared" si="32"/>
        <v>0</v>
      </c>
      <c r="AY46" s="188"/>
      <c r="AZ46" s="190">
        <f t="shared" si="33"/>
        <v>0</v>
      </c>
      <c r="BA46" s="24"/>
      <c r="BB46" s="66"/>
      <c r="BC46" s="66"/>
      <c r="BD46" s="66"/>
      <c r="BE46" s="132">
        <f t="shared" si="34"/>
        <v>0</v>
      </c>
      <c r="BF46" s="25">
        <v>82</v>
      </c>
      <c r="BG46" s="151">
        <f t="shared" si="35"/>
        <v>0</v>
      </c>
      <c r="BH46" s="113"/>
      <c r="BI46" s="188"/>
      <c r="BJ46" s="188"/>
      <c r="BK46" s="188"/>
      <c r="BL46" s="189">
        <f t="shared" si="36"/>
        <v>0</v>
      </c>
      <c r="BM46" s="188"/>
      <c r="BN46" s="191">
        <f t="shared" si="37"/>
        <v>0</v>
      </c>
      <c r="BO46" s="197">
        <f t="shared" si="43"/>
        <v>0</v>
      </c>
      <c r="BP46" s="188">
        <f t="shared" si="38"/>
        <v>0</v>
      </c>
      <c r="BQ46" s="188">
        <f t="shared" si="39"/>
        <v>0</v>
      </c>
      <c r="BR46" s="188">
        <f t="shared" si="40"/>
        <v>0</v>
      </c>
      <c r="BS46" s="132">
        <f t="shared" si="41"/>
        <v>0</v>
      </c>
      <c r="BT46" s="149">
        <f t="shared" si="42"/>
        <v>0</v>
      </c>
    </row>
    <row r="47" spans="1:72" x14ac:dyDescent="0.2">
      <c r="A47" s="279" t="s">
        <v>493</v>
      </c>
      <c r="B47" s="113"/>
      <c r="C47" s="188"/>
      <c r="D47" s="188"/>
      <c r="E47" s="188"/>
      <c r="F47" s="189"/>
      <c r="G47" s="188"/>
      <c r="H47" s="190"/>
      <c r="I47" s="113"/>
      <c r="J47" s="188"/>
      <c r="K47" s="188"/>
      <c r="L47" s="188"/>
      <c r="M47" s="189"/>
      <c r="N47" s="188"/>
      <c r="O47" s="190"/>
      <c r="P47" s="115"/>
      <c r="Q47" s="66"/>
      <c r="R47" s="66"/>
      <c r="S47" s="66"/>
      <c r="T47" s="132"/>
      <c r="U47" s="66"/>
      <c r="V47" s="208"/>
      <c r="W47" s="113"/>
      <c r="X47" s="188"/>
      <c r="Y47" s="188"/>
      <c r="Z47" s="188"/>
      <c r="AA47" s="189"/>
      <c r="AB47" s="188"/>
      <c r="AC47" s="190"/>
      <c r="AD47" s="283"/>
      <c r="AE47" s="285"/>
      <c r="AF47" s="66"/>
      <c r="AG47" s="66"/>
      <c r="AH47" s="66"/>
      <c r="AI47" s="132"/>
      <c r="AJ47" s="66"/>
      <c r="AK47" s="153"/>
      <c r="AL47" s="297">
        <v>100340</v>
      </c>
      <c r="AM47" s="285"/>
      <c r="AN47" s="66"/>
      <c r="AO47" s="66"/>
      <c r="AP47" s="66"/>
      <c r="AQ47" s="132">
        <f t="shared" si="30"/>
        <v>0</v>
      </c>
      <c r="AR47" s="66">
        <v>653</v>
      </c>
      <c r="AS47" s="153">
        <f t="shared" si="31"/>
        <v>0</v>
      </c>
      <c r="AT47" s="188"/>
      <c r="AU47" s="188"/>
      <c r="AV47" s="188"/>
      <c r="AW47" s="188"/>
      <c r="AX47" s="189"/>
      <c r="AY47" s="188"/>
      <c r="AZ47" s="190"/>
      <c r="BA47" s="24"/>
      <c r="BB47" s="66"/>
      <c r="BC47" s="66"/>
      <c r="BD47" s="66"/>
      <c r="BE47" s="132"/>
      <c r="BF47" s="25"/>
      <c r="BG47" s="151"/>
      <c r="BH47" s="113"/>
      <c r="BI47" s="188"/>
      <c r="BJ47" s="188"/>
      <c r="BK47" s="188"/>
      <c r="BL47" s="189"/>
      <c r="BM47" s="188"/>
      <c r="BN47" s="191"/>
      <c r="BO47" s="197">
        <f>AM47</f>
        <v>0</v>
      </c>
      <c r="BP47" s="188">
        <f>AN47</f>
        <v>0</v>
      </c>
      <c r="BQ47" s="188">
        <f>AO47</f>
        <v>0</v>
      </c>
      <c r="BR47" s="188">
        <f>AP47</f>
        <v>0</v>
      </c>
      <c r="BS47" s="132">
        <f t="shared" ref="BS47:BS52" si="52">SUM(BO47:BR47)</f>
        <v>0</v>
      </c>
      <c r="BT47" s="149">
        <f>AS47</f>
        <v>0</v>
      </c>
    </row>
    <row r="48" spans="1:72" x14ac:dyDescent="0.2">
      <c r="A48" s="279" t="s">
        <v>487</v>
      </c>
      <c r="B48" s="113"/>
      <c r="C48" s="188"/>
      <c r="D48" s="188"/>
      <c r="E48" s="188"/>
      <c r="F48" s="189"/>
      <c r="G48" s="188"/>
      <c r="H48" s="190"/>
      <c r="I48" s="113"/>
      <c r="J48" s="188"/>
      <c r="K48" s="188"/>
      <c r="L48" s="188"/>
      <c r="M48" s="189"/>
      <c r="N48" s="188"/>
      <c r="O48" s="190"/>
      <c r="P48" s="115"/>
      <c r="Q48" s="66"/>
      <c r="R48" s="66"/>
      <c r="S48" s="66"/>
      <c r="T48" s="132"/>
      <c r="U48" s="66"/>
      <c r="V48" s="208"/>
      <c r="W48" s="113"/>
      <c r="X48" s="188"/>
      <c r="Y48" s="188"/>
      <c r="Z48" s="188"/>
      <c r="AA48" s="189"/>
      <c r="AB48" s="188"/>
      <c r="AC48" s="190"/>
      <c r="AD48" s="283">
        <v>1011</v>
      </c>
      <c r="AE48" s="285"/>
      <c r="AF48" s="66"/>
      <c r="AG48" s="66"/>
      <c r="AH48" s="66"/>
      <c r="AI48" s="132">
        <f t="shared" ref="AI48:AI52" si="53">SUM(AE48:AH48)</f>
        <v>0</v>
      </c>
      <c r="AJ48" s="66">
        <v>485</v>
      </c>
      <c r="AK48" s="153">
        <f t="shared" ref="AK48:AK52" si="54">AI48*AJ48</f>
        <v>0</v>
      </c>
      <c r="AL48" s="283"/>
      <c r="AM48" s="285"/>
      <c r="AN48" s="66"/>
      <c r="AO48" s="66"/>
      <c r="AP48" s="66"/>
      <c r="AQ48" s="132"/>
      <c r="AR48" s="66"/>
      <c r="AS48" s="153"/>
      <c r="AT48" s="188"/>
      <c r="AU48" s="188"/>
      <c r="AV48" s="188"/>
      <c r="AW48" s="188"/>
      <c r="AX48" s="189"/>
      <c r="AY48" s="188"/>
      <c r="AZ48" s="190"/>
      <c r="BA48" s="24"/>
      <c r="BB48" s="66"/>
      <c r="BC48" s="66"/>
      <c r="BD48" s="66"/>
      <c r="BE48" s="132"/>
      <c r="BF48" s="25"/>
      <c r="BG48" s="151"/>
      <c r="BH48" s="113"/>
      <c r="BI48" s="188"/>
      <c r="BJ48" s="188"/>
      <c r="BK48" s="188"/>
      <c r="BL48" s="189"/>
      <c r="BM48" s="188"/>
      <c r="BN48" s="191"/>
      <c r="BO48" s="197">
        <f t="shared" ref="BO48:BO52" si="55">B48+I48+P48+W48+AE48+AM48+AT48+BA48+BH48</f>
        <v>0</v>
      </c>
      <c r="BP48" s="188">
        <f t="shared" ref="BP48:BP52" si="56">C48+J48+Q48+X48+AF48+AN48+AU48+BB48+BI48</f>
        <v>0</v>
      </c>
      <c r="BQ48" s="188">
        <f t="shared" ref="BQ48:BQ52" si="57">D48+K48+R48+Y48+AG48+AO48+AV48+BC48+BJ48</f>
        <v>0</v>
      </c>
      <c r="BR48" s="188">
        <f t="shared" ref="BR48:BR52" si="58">E48+L48+S48+Z48+AH48+AP48+AW48+BD48+BK48</f>
        <v>0</v>
      </c>
      <c r="BS48" s="132">
        <f t="shared" si="52"/>
        <v>0</v>
      </c>
      <c r="BT48" s="149">
        <f t="shared" ref="BT48:BT52" si="59">H48+O48+V48+AC48+AK48+AS48+AZ48+BG48+BN48</f>
        <v>0</v>
      </c>
    </row>
    <row r="49" spans="1:72" x14ac:dyDescent="0.2">
      <c r="A49" s="279" t="s">
        <v>488</v>
      </c>
      <c r="B49" s="113"/>
      <c r="C49" s="188"/>
      <c r="D49" s="188"/>
      <c r="E49" s="188"/>
      <c r="F49" s="189"/>
      <c r="G49" s="188"/>
      <c r="H49" s="190"/>
      <c r="I49" s="113"/>
      <c r="J49" s="188"/>
      <c r="K49" s="188"/>
      <c r="L49" s="188"/>
      <c r="M49" s="189"/>
      <c r="N49" s="188"/>
      <c r="O49" s="190"/>
      <c r="P49" s="115"/>
      <c r="Q49" s="66"/>
      <c r="R49" s="66"/>
      <c r="S49" s="66"/>
      <c r="T49" s="132"/>
      <c r="U49" s="66"/>
      <c r="V49" s="208"/>
      <c r="W49" s="113"/>
      <c r="X49" s="188"/>
      <c r="Y49" s="188"/>
      <c r="Z49" s="188"/>
      <c r="AA49" s="189"/>
      <c r="AB49" s="188"/>
      <c r="AC49" s="190"/>
      <c r="AD49" s="283">
        <v>1009</v>
      </c>
      <c r="AE49" s="285"/>
      <c r="AF49" s="66"/>
      <c r="AG49" s="66"/>
      <c r="AH49" s="66"/>
      <c r="AI49" s="132">
        <f t="shared" si="53"/>
        <v>0</v>
      </c>
      <c r="AJ49" s="66">
        <v>385</v>
      </c>
      <c r="AK49" s="153">
        <f t="shared" si="54"/>
        <v>0</v>
      </c>
      <c r="AL49" s="283"/>
      <c r="AM49" s="285"/>
      <c r="AN49" s="66"/>
      <c r="AO49" s="66"/>
      <c r="AP49" s="66"/>
      <c r="AQ49" s="132"/>
      <c r="AR49" s="66"/>
      <c r="AS49" s="153"/>
      <c r="AT49" s="188"/>
      <c r="AU49" s="188"/>
      <c r="AV49" s="188"/>
      <c r="AW49" s="188"/>
      <c r="AX49" s="189"/>
      <c r="AY49" s="188"/>
      <c r="AZ49" s="190"/>
      <c r="BA49" s="24"/>
      <c r="BB49" s="66"/>
      <c r="BC49" s="66"/>
      <c r="BD49" s="66"/>
      <c r="BE49" s="132"/>
      <c r="BF49" s="25"/>
      <c r="BG49" s="151"/>
      <c r="BH49" s="113"/>
      <c r="BI49" s="188"/>
      <c r="BJ49" s="188"/>
      <c r="BK49" s="188"/>
      <c r="BL49" s="189"/>
      <c r="BM49" s="188"/>
      <c r="BN49" s="191"/>
      <c r="BO49" s="197">
        <f t="shared" si="55"/>
        <v>0</v>
      </c>
      <c r="BP49" s="188">
        <f t="shared" si="56"/>
        <v>0</v>
      </c>
      <c r="BQ49" s="188">
        <f t="shared" si="57"/>
        <v>0</v>
      </c>
      <c r="BR49" s="188">
        <f t="shared" si="58"/>
        <v>0</v>
      </c>
      <c r="BS49" s="132">
        <f t="shared" si="52"/>
        <v>0</v>
      </c>
      <c r="BT49" s="149">
        <f t="shared" si="59"/>
        <v>0</v>
      </c>
    </row>
    <row r="50" spans="1:72" x14ac:dyDescent="0.2">
      <c r="A50" s="279" t="s">
        <v>489</v>
      </c>
      <c r="B50" s="113"/>
      <c r="C50" s="188"/>
      <c r="D50" s="188"/>
      <c r="E50" s="188"/>
      <c r="F50" s="189"/>
      <c r="G50" s="188"/>
      <c r="H50" s="190"/>
      <c r="I50" s="113"/>
      <c r="J50" s="188"/>
      <c r="K50" s="188"/>
      <c r="L50" s="188"/>
      <c r="M50" s="189"/>
      <c r="N50" s="188"/>
      <c r="O50" s="190"/>
      <c r="P50" s="115"/>
      <c r="Q50" s="66"/>
      <c r="R50" s="66"/>
      <c r="S50" s="66"/>
      <c r="T50" s="132"/>
      <c r="U50" s="66"/>
      <c r="V50" s="208"/>
      <c r="W50" s="113"/>
      <c r="X50" s="188"/>
      <c r="Y50" s="188"/>
      <c r="Z50" s="188"/>
      <c r="AA50" s="189"/>
      <c r="AB50" s="188"/>
      <c r="AC50" s="190"/>
      <c r="AD50" s="283">
        <v>1010</v>
      </c>
      <c r="AE50" s="285"/>
      <c r="AF50" s="66"/>
      <c r="AG50" s="66"/>
      <c r="AH50" s="66"/>
      <c r="AI50" s="132">
        <f t="shared" si="53"/>
        <v>0</v>
      </c>
      <c r="AJ50" s="66">
        <v>56</v>
      </c>
      <c r="AK50" s="153">
        <f t="shared" si="54"/>
        <v>0</v>
      </c>
      <c r="AL50" s="283"/>
      <c r="AM50" s="285"/>
      <c r="AN50" s="66"/>
      <c r="AO50" s="66"/>
      <c r="AP50" s="66"/>
      <c r="AQ50" s="132"/>
      <c r="AR50" s="66"/>
      <c r="AS50" s="153"/>
      <c r="AT50" s="188"/>
      <c r="AU50" s="188"/>
      <c r="AV50" s="188"/>
      <c r="AW50" s="188"/>
      <c r="AX50" s="189"/>
      <c r="AY50" s="188"/>
      <c r="AZ50" s="190"/>
      <c r="BA50" s="24"/>
      <c r="BB50" s="66"/>
      <c r="BC50" s="66"/>
      <c r="BD50" s="66"/>
      <c r="BE50" s="132"/>
      <c r="BF50" s="25"/>
      <c r="BG50" s="151"/>
      <c r="BH50" s="113"/>
      <c r="BI50" s="188"/>
      <c r="BJ50" s="188"/>
      <c r="BK50" s="188"/>
      <c r="BL50" s="189"/>
      <c r="BM50" s="188"/>
      <c r="BN50" s="191"/>
      <c r="BO50" s="197">
        <f t="shared" si="55"/>
        <v>0</v>
      </c>
      <c r="BP50" s="188">
        <f t="shared" si="56"/>
        <v>0</v>
      </c>
      <c r="BQ50" s="188">
        <f t="shared" si="57"/>
        <v>0</v>
      </c>
      <c r="BR50" s="188">
        <f t="shared" si="58"/>
        <v>0</v>
      </c>
      <c r="BS50" s="132">
        <f t="shared" si="52"/>
        <v>0</v>
      </c>
      <c r="BT50" s="149">
        <f t="shared" si="59"/>
        <v>0</v>
      </c>
    </row>
    <row r="51" spans="1:72" x14ac:dyDescent="0.2">
      <c r="A51" s="279" t="s">
        <v>490</v>
      </c>
      <c r="B51" s="113"/>
      <c r="C51" s="188"/>
      <c r="D51" s="188"/>
      <c r="E51" s="188"/>
      <c r="F51" s="189"/>
      <c r="G51" s="188"/>
      <c r="H51" s="190"/>
      <c r="I51" s="113"/>
      <c r="J51" s="188"/>
      <c r="K51" s="188"/>
      <c r="L51" s="188"/>
      <c r="M51" s="189"/>
      <c r="N51" s="188"/>
      <c r="O51" s="190"/>
      <c r="P51" s="115"/>
      <c r="Q51" s="66"/>
      <c r="R51" s="66"/>
      <c r="S51" s="66"/>
      <c r="T51" s="132"/>
      <c r="U51" s="66"/>
      <c r="V51" s="208"/>
      <c r="W51" s="113"/>
      <c r="X51" s="188"/>
      <c r="Y51" s="188"/>
      <c r="Z51" s="188"/>
      <c r="AA51" s="189"/>
      <c r="AB51" s="188"/>
      <c r="AC51" s="190"/>
      <c r="AD51" s="283">
        <v>1013</v>
      </c>
      <c r="AE51" s="285"/>
      <c r="AF51" s="66"/>
      <c r="AG51" s="66"/>
      <c r="AH51" s="66"/>
      <c r="AI51" s="132">
        <f t="shared" si="53"/>
        <v>0</v>
      </c>
      <c r="AJ51" s="66">
        <v>56</v>
      </c>
      <c r="AK51" s="153">
        <f t="shared" si="54"/>
        <v>0</v>
      </c>
      <c r="AL51" s="283"/>
      <c r="AM51" s="285"/>
      <c r="AN51" s="66"/>
      <c r="AO51" s="66"/>
      <c r="AP51" s="66"/>
      <c r="AQ51" s="132"/>
      <c r="AR51" s="66"/>
      <c r="AS51" s="153"/>
      <c r="AT51" s="188"/>
      <c r="AU51" s="188"/>
      <c r="AV51" s="188"/>
      <c r="AW51" s="188"/>
      <c r="AX51" s="189"/>
      <c r="AY51" s="188"/>
      <c r="AZ51" s="190"/>
      <c r="BA51" s="24"/>
      <c r="BB51" s="66"/>
      <c r="BC51" s="66"/>
      <c r="BD51" s="66"/>
      <c r="BE51" s="132"/>
      <c r="BF51" s="25"/>
      <c r="BG51" s="151"/>
      <c r="BH51" s="113"/>
      <c r="BI51" s="188"/>
      <c r="BJ51" s="188"/>
      <c r="BK51" s="188"/>
      <c r="BL51" s="189"/>
      <c r="BM51" s="188"/>
      <c r="BN51" s="191"/>
      <c r="BO51" s="197">
        <f t="shared" si="55"/>
        <v>0</v>
      </c>
      <c r="BP51" s="188">
        <f t="shared" si="56"/>
        <v>0</v>
      </c>
      <c r="BQ51" s="188">
        <f t="shared" si="57"/>
        <v>0</v>
      </c>
      <c r="BR51" s="188">
        <f t="shared" si="58"/>
        <v>0</v>
      </c>
      <c r="BS51" s="132">
        <f t="shared" si="52"/>
        <v>0</v>
      </c>
      <c r="BT51" s="149">
        <f t="shared" si="59"/>
        <v>0</v>
      </c>
    </row>
    <row r="52" spans="1:72" x14ac:dyDescent="0.2">
      <c r="A52" s="279" t="s">
        <v>491</v>
      </c>
      <c r="B52" s="113"/>
      <c r="C52" s="188"/>
      <c r="D52" s="188"/>
      <c r="E52" s="188"/>
      <c r="F52" s="189"/>
      <c r="G52" s="188"/>
      <c r="H52" s="190"/>
      <c r="I52" s="113"/>
      <c r="J52" s="188"/>
      <c r="K52" s="188"/>
      <c r="L52" s="188"/>
      <c r="M52" s="189"/>
      <c r="N52" s="188"/>
      <c r="O52" s="190"/>
      <c r="P52" s="115"/>
      <c r="Q52" s="66"/>
      <c r="R52" s="66"/>
      <c r="S52" s="66"/>
      <c r="T52" s="132"/>
      <c r="U52" s="66"/>
      <c r="V52" s="208"/>
      <c r="W52" s="113"/>
      <c r="X52" s="188"/>
      <c r="Y52" s="188"/>
      <c r="Z52" s="188"/>
      <c r="AA52" s="189"/>
      <c r="AB52" s="188"/>
      <c r="AC52" s="190"/>
      <c r="AD52" s="283">
        <v>1012</v>
      </c>
      <c r="AE52" s="285"/>
      <c r="AF52" s="66"/>
      <c r="AG52" s="66"/>
      <c r="AH52" s="66"/>
      <c r="AI52" s="132">
        <f t="shared" si="53"/>
        <v>0</v>
      </c>
      <c r="AJ52" s="66">
        <v>56</v>
      </c>
      <c r="AK52" s="153">
        <f t="shared" si="54"/>
        <v>0</v>
      </c>
      <c r="AL52" s="283"/>
      <c r="AM52" s="285"/>
      <c r="AN52" s="66"/>
      <c r="AO52" s="66"/>
      <c r="AP52" s="66"/>
      <c r="AQ52" s="132"/>
      <c r="AR52" s="66"/>
      <c r="AS52" s="153"/>
      <c r="AT52" s="188"/>
      <c r="AU52" s="188"/>
      <c r="AV52" s="188"/>
      <c r="AW52" s="188"/>
      <c r="AX52" s="189"/>
      <c r="AY52" s="188"/>
      <c r="AZ52" s="190"/>
      <c r="BA52" s="24"/>
      <c r="BB52" s="66"/>
      <c r="BC52" s="66"/>
      <c r="BD52" s="66"/>
      <c r="BE52" s="132"/>
      <c r="BF52" s="25"/>
      <c r="BG52" s="151"/>
      <c r="BH52" s="113"/>
      <c r="BI52" s="188"/>
      <c r="BJ52" s="188"/>
      <c r="BK52" s="188"/>
      <c r="BL52" s="189"/>
      <c r="BM52" s="188"/>
      <c r="BN52" s="191"/>
      <c r="BO52" s="197">
        <f t="shared" si="55"/>
        <v>0</v>
      </c>
      <c r="BP52" s="188">
        <f t="shared" si="56"/>
        <v>0</v>
      </c>
      <c r="BQ52" s="188">
        <f t="shared" si="57"/>
        <v>0</v>
      </c>
      <c r="BR52" s="188">
        <f t="shared" si="58"/>
        <v>0</v>
      </c>
      <c r="BS52" s="132">
        <f t="shared" si="52"/>
        <v>0</v>
      </c>
      <c r="BT52" s="149">
        <f t="shared" si="59"/>
        <v>0</v>
      </c>
    </row>
    <row r="53" spans="1:72" ht="13.5" thickBot="1" x14ac:dyDescent="0.25">
      <c r="A53" t="s">
        <v>81</v>
      </c>
      <c r="B53" s="192"/>
      <c r="C53" s="193"/>
      <c r="D53" s="193"/>
      <c r="E53" s="193"/>
      <c r="F53" s="194"/>
      <c r="G53" s="193"/>
      <c r="H53" s="195"/>
      <c r="I53" s="192"/>
      <c r="J53" s="193"/>
      <c r="K53" s="193"/>
      <c r="L53" s="193"/>
      <c r="M53" s="194">
        <f t="shared" si="23"/>
        <v>0</v>
      </c>
      <c r="N53" s="193"/>
      <c r="O53" s="195">
        <f>M53*N53</f>
        <v>0</v>
      </c>
      <c r="P53" s="116"/>
      <c r="Q53" s="127"/>
      <c r="R53" s="127"/>
      <c r="S53" s="127"/>
      <c r="T53" s="133">
        <f t="shared" si="25"/>
        <v>0</v>
      </c>
      <c r="U53" s="127">
        <v>65</v>
      </c>
      <c r="V53" s="209">
        <f>T53*U53</f>
        <v>0</v>
      </c>
      <c r="W53" s="192"/>
      <c r="X53" s="193"/>
      <c r="Y53" s="193"/>
      <c r="Z53" s="193"/>
      <c r="AA53" s="194">
        <f t="shared" si="27"/>
        <v>0</v>
      </c>
      <c r="AB53" s="193"/>
      <c r="AC53" s="195">
        <f>AA53*AB53</f>
        <v>0</v>
      </c>
      <c r="AD53" s="299">
        <v>1020</v>
      </c>
      <c r="AE53" s="286"/>
      <c r="AF53" s="127"/>
      <c r="AG53" s="127"/>
      <c r="AH53" s="127"/>
      <c r="AI53" s="133">
        <f>SUM(AE53:AH53)</f>
        <v>0</v>
      </c>
      <c r="AJ53" s="127">
        <v>50</v>
      </c>
      <c r="AK53" s="154">
        <f>AI53*AJ53</f>
        <v>0</v>
      </c>
      <c r="AL53" s="298">
        <v>100400</v>
      </c>
      <c r="AM53" s="286"/>
      <c r="AN53" s="127"/>
      <c r="AO53" s="127"/>
      <c r="AP53" s="127"/>
      <c r="AQ53" s="133">
        <f t="shared" si="30"/>
        <v>0</v>
      </c>
      <c r="AR53" s="127">
        <v>0</v>
      </c>
      <c r="AS53" s="154">
        <f>AQ53*AR53</f>
        <v>0</v>
      </c>
      <c r="AT53" s="193"/>
      <c r="AU53" s="193"/>
      <c r="AV53" s="193"/>
      <c r="AW53" s="193"/>
      <c r="AX53" s="194">
        <f t="shared" si="32"/>
        <v>0</v>
      </c>
      <c r="AY53" s="193"/>
      <c r="AZ53" s="195">
        <f>AX53*AY53</f>
        <v>0</v>
      </c>
      <c r="BA53" s="116"/>
      <c r="BB53" s="127"/>
      <c r="BC53" s="127"/>
      <c r="BD53" s="127"/>
      <c r="BE53" s="133">
        <f t="shared" si="34"/>
        <v>0</v>
      </c>
      <c r="BF53" s="136"/>
      <c r="BG53" s="152">
        <f>BE53*BF53</f>
        <v>0</v>
      </c>
      <c r="BH53" s="192"/>
      <c r="BI53" s="193"/>
      <c r="BJ53" s="193"/>
      <c r="BK53" s="193"/>
      <c r="BL53" s="194">
        <f t="shared" si="36"/>
        <v>0</v>
      </c>
      <c r="BM53" s="193"/>
      <c r="BN53" s="196">
        <f>BL53*BM53</f>
        <v>0</v>
      </c>
      <c r="BO53" s="198">
        <f>B53+I53+P53+W53+AE53+AM53+AT53+BA53+BH53</f>
        <v>0</v>
      </c>
      <c r="BP53" s="199">
        <f>C53+J53+Q53+X53+AF53+AN53+AU53+BB53+BI53</f>
        <v>0</v>
      </c>
      <c r="BQ53" s="199">
        <f>D53+K53+R53+Y53+AG53+AO53+AV53+BC53+BJ53</f>
        <v>0</v>
      </c>
      <c r="BR53" s="199">
        <f>E53+L53+S53+Z53+AH53+AP53+AW53+BD53+BK53</f>
        <v>0</v>
      </c>
      <c r="BS53" s="148">
        <f t="shared" si="41"/>
        <v>0</v>
      </c>
      <c r="BT53" s="168">
        <f t="shared" si="42"/>
        <v>0</v>
      </c>
    </row>
    <row r="54" spans="1:72" x14ac:dyDescent="0.2">
      <c r="BN54" s="150"/>
      <c r="BO54" s="150"/>
      <c r="BP54" s="150"/>
      <c r="BQ54" s="150"/>
      <c r="BR54" s="150"/>
      <c r="BS54">
        <f>SUM(BS31:BS40)+SUM(BS42:BS44)</f>
        <v>0</v>
      </c>
      <c r="BT54" s="202">
        <f>SUM(BT31:BT53)</f>
        <v>0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7"/>
  <sheetViews>
    <sheetView zoomScale="80" zoomScaleNormal="80" workbookViewId="0">
      <pane ySplit="1" topLeftCell="A2" activePane="bottomLeft" state="frozen"/>
      <selection pane="bottomLeft" activeCell="S23" sqref="S23"/>
    </sheetView>
  </sheetViews>
  <sheetFormatPr baseColWidth="10" defaultColWidth="9.140625" defaultRowHeight="12.75" x14ac:dyDescent="0.2"/>
  <cols>
    <col min="1" max="1" width="26.7109375" customWidth="1"/>
    <col min="2" max="3" width="9.140625" style="11" customWidth="1"/>
    <col min="4" max="5" width="9.140625" customWidth="1"/>
    <col min="6" max="6" width="8.5703125" customWidth="1"/>
    <col min="7" max="12" width="9.140625" customWidth="1"/>
    <col min="13" max="13" width="8.7109375" customWidth="1"/>
    <col min="14" max="14" width="8.5703125" customWidth="1"/>
    <col min="18" max="18" width="9.140625" customWidth="1"/>
    <col min="258" max="258" width="16.42578125" customWidth="1"/>
    <col min="259" max="262" width="9.140625" customWidth="1"/>
    <col min="263" max="263" width="8.5703125" customWidth="1"/>
    <col min="264" max="269" width="9.140625" customWidth="1"/>
    <col min="270" max="270" width="8.7109375" customWidth="1"/>
    <col min="271" max="271" width="8.5703125" customWidth="1"/>
    <col min="514" max="514" width="16.42578125" customWidth="1"/>
    <col min="515" max="518" width="9.140625" customWidth="1"/>
    <col min="519" max="519" width="8.5703125" customWidth="1"/>
    <col min="520" max="525" width="9.140625" customWidth="1"/>
    <col min="526" max="526" width="8.7109375" customWidth="1"/>
    <col min="527" max="527" width="8.5703125" customWidth="1"/>
    <col min="770" max="770" width="16.42578125" customWidth="1"/>
    <col min="771" max="774" width="9.140625" customWidth="1"/>
    <col min="775" max="775" width="8.5703125" customWidth="1"/>
    <col min="776" max="781" width="9.140625" customWidth="1"/>
    <col min="782" max="782" width="8.7109375" customWidth="1"/>
    <col min="783" max="783" width="8.5703125" customWidth="1"/>
    <col min="1026" max="1026" width="16.42578125" customWidth="1"/>
    <col min="1027" max="1030" width="9.140625" customWidth="1"/>
    <col min="1031" max="1031" width="8.5703125" customWidth="1"/>
    <col min="1032" max="1037" width="9.140625" customWidth="1"/>
    <col min="1038" max="1038" width="8.7109375" customWidth="1"/>
    <col min="1039" max="1039" width="8.5703125" customWidth="1"/>
    <col min="1282" max="1282" width="16.42578125" customWidth="1"/>
    <col min="1283" max="1286" width="9.140625" customWidth="1"/>
    <col min="1287" max="1287" width="8.5703125" customWidth="1"/>
    <col min="1288" max="1293" width="9.140625" customWidth="1"/>
    <col min="1294" max="1294" width="8.7109375" customWidth="1"/>
    <col min="1295" max="1295" width="8.5703125" customWidth="1"/>
    <col min="1538" max="1538" width="16.42578125" customWidth="1"/>
    <col min="1539" max="1542" width="9.140625" customWidth="1"/>
    <col min="1543" max="1543" width="8.5703125" customWidth="1"/>
    <col min="1544" max="1549" width="9.140625" customWidth="1"/>
    <col min="1550" max="1550" width="8.7109375" customWidth="1"/>
    <col min="1551" max="1551" width="8.5703125" customWidth="1"/>
    <col min="1794" max="1794" width="16.42578125" customWidth="1"/>
    <col min="1795" max="1798" width="9.140625" customWidth="1"/>
    <col min="1799" max="1799" width="8.5703125" customWidth="1"/>
    <col min="1800" max="1805" width="9.140625" customWidth="1"/>
    <col min="1806" max="1806" width="8.7109375" customWidth="1"/>
    <col min="1807" max="1807" width="8.5703125" customWidth="1"/>
    <col min="2050" max="2050" width="16.42578125" customWidth="1"/>
    <col min="2051" max="2054" width="9.140625" customWidth="1"/>
    <col min="2055" max="2055" width="8.5703125" customWidth="1"/>
    <col min="2056" max="2061" width="9.140625" customWidth="1"/>
    <col min="2062" max="2062" width="8.7109375" customWidth="1"/>
    <col min="2063" max="2063" width="8.5703125" customWidth="1"/>
    <col min="2306" max="2306" width="16.42578125" customWidth="1"/>
    <col min="2307" max="2310" width="9.140625" customWidth="1"/>
    <col min="2311" max="2311" width="8.5703125" customWidth="1"/>
    <col min="2312" max="2317" width="9.140625" customWidth="1"/>
    <col min="2318" max="2318" width="8.7109375" customWidth="1"/>
    <col min="2319" max="2319" width="8.5703125" customWidth="1"/>
    <col min="2562" max="2562" width="16.42578125" customWidth="1"/>
    <col min="2563" max="2566" width="9.140625" customWidth="1"/>
    <col min="2567" max="2567" width="8.5703125" customWidth="1"/>
    <col min="2568" max="2573" width="9.140625" customWidth="1"/>
    <col min="2574" max="2574" width="8.7109375" customWidth="1"/>
    <col min="2575" max="2575" width="8.5703125" customWidth="1"/>
    <col min="2818" max="2818" width="16.42578125" customWidth="1"/>
    <col min="2819" max="2822" width="9.140625" customWidth="1"/>
    <col min="2823" max="2823" width="8.5703125" customWidth="1"/>
    <col min="2824" max="2829" width="9.140625" customWidth="1"/>
    <col min="2830" max="2830" width="8.7109375" customWidth="1"/>
    <col min="2831" max="2831" width="8.5703125" customWidth="1"/>
    <col min="3074" max="3074" width="16.42578125" customWidth="1"/>
    <col min="3075" max="3078" width="9.140625" customWidth="1"/>
    <col min="3079" max="3079" width="8.5703125" customWidth="1"/>
    <col min="3080" max="3085" width="9.140625" customWidth="1"/>
    <col min="3086" max="3086" width="8.7109375" customWidth="1"/>
    <col min="3087" max="3087" width="8.5703125" customWidth="1"/>
    <col min="3330" max="3330" width="16.42578125" customWidth="1"/>
    <col min="3331" max="3334" width="9.140625" customWidth="1"/>
    <col min="3335" max="3335" width="8.5703125" customWidth="1"/>
    <col min="3336" max="3341" width="9.140625" customWidth="1"/>
    <col min="3342" max="3342" width="8.7109375" customWidth="1"/>
    <col min="3343" max="3343" width="8.5703125" customWidth="1"/>
    <col min="3586" max="3586" width="16.42578125" customWidth="1"/>
    <col min="3587" max="3590" width="9.140625" customWidth="1"/>
    <col min="3591" max="3591" width="8.5703125" customWidth="1"/>
    <col min="3592" max="3597" width="9.140625" customWidth="1"/>
    <col min="3598" max="3598" width="8.7109375" customWidth="1"/>
    <col min="3599" max="3599" width="8.5703125" customWidth="1"/>
    <col min="3842" max="3842" width="16.42578125" customWidth="1"/>
    <col min="3843" max="3846" width="9.140625" customWidth="1"/>
    <col min="3847" max="3847" width="8.5703125" customWidth="1"/>
    <col min="3848" max="3853" width="9.140625" customWidth="1"/>
    <col min="3854" max="3854" width="8.7109375" customWidth="1"/>
    <col min="3855" max="3855" width="8.5703125" customWidth="1"/>
    <col min="4098" max="4098" width="16.42578125" customWidth="1"/>
    <col min="4099" max="4102" width="9.140625" customWidth="1"/>
    <col min="4103" max="4103" width="8.5703125" customWidth="1"/>
    <col min="4104" max="4109" width="9.140625" customWidth="1"/>
    <col min="4110" max="4110" width="8.7109375" customWidth="1"/>
    <col min="4111" max="4111" width="8.5703125" customWidth="1"/>
    <col min="4354" max="4354" width="16.42578125" customWidth="1"/>
    <col min="4355" max="4358" width="9.140625" customWidth="1"/>
    <col min="4359" max="4359" width="8.5703125" customWidth="1"/>
    <col min="4360" max="4365" width="9.140625" customWidth="1"/>
    <col min="4366" max="4366" width="8.7109375" customWidth="1"/>
    <col min="4367" max="4367" width="8.5703125" customWidth="1"/>
    <col min="4610" max="4610" width="16.42578125" customWidth="1"/>
    <col min="4611" max="4614" width="9.140625" customWidth="1"/>
    <col min="4615" max="4615" width="8.5703125" customWidth="1"/>
    <col min="4616" max="4621" width="9.140625" customWidth="1"/>
    <col min="4622" max="4622" width="8.7109375" customWidth="1"/>
    <col min="4623" max="4623" width="8.5703125" customWidth="1"/>
    <col min="4866" max="4866" width="16.42578125" customWidth="1"/>
    <col min="4867" max="4870" width="9.140625" customWidth="1"/>
    <col min="4871" max="4871" width="8.5703125" customWidth="1"/>
    <col min="4872" max="4877" width="9.140625" customWidth="1"/>
    <col min="4878" max="4878" width="8.7109375" customWidth="1"/>
    <col min="4879" max="4879" width="8.5703125" customWidth="1"/>
    <col min="5122" max="5122" width="16.42578125" customWidth="1"/>
    <col min="5123" max="5126" width="9.140625" customWidth="1"/>
    <col min="5127" max="5127" width="8.5703125" customWidth="1"/>
    <col min="5128" max="5133" width="9.140625" customWidth="1"/>
    <col min="5134" max="5134" width="8.7109375" customWidth="1"/>
    <col min="5135" max="5135" width="8.5703125" customWidth="1"/>
    <col min="5378" max="5378" width="16.42578125" customWidth="1"/>
    <col min="5379" max="5382" width="9.140625" customWidth="1"/>
    <col min="5383" max="5383" width="8.5703125" customWidth="1"/>
    <col min="5384" max="5389" width="9.140625" customWidth="1"/>
    <col min="5390" max="5390" width="8.7109375" customWidth="1"/>
    <col min="5391" max="5391" width="8.5703125" customWidth="1"/>
    <col min="5634" max="5634" width="16.42578125" customWidth="1"/>
    <col min="5635" max="5638" width="9.140625" customWidth="1"/>
    <col min="5639" max="5639" width="8.5703125" customWidth="1"/>
    <col min="5640" max="5645" width="9.140625" customWidth="1"/>
    <col min="5646" max="5646" width="8.7109375" customWidth="1"/>
    <col min="5647" max="5647" width="8.5703125" customWidth="1"/>
    <col min="5890" max="5890" width="16.42578125" customWidth="1"/>
    <col min="5891" max="5894" width="9.140625" customWidth="1"/>
    <col min="5895" max="5895" width="8.5703125" customWidth="1"/>
    <col min="5896" max="5901" width="9.140625" customWidth="1"/>
    <col min="5902" max="5902" width="8.7109375" customWidth="1"/>
    <col min="5903" max="5903" width="8.5703125" customWidth="1"/>
    <col min="6146" max="6146" width="16.42578125" customWidth="1"/>
    <col min="6147" max="6150" width="9.140625" customWidth="1"/>
    <col min="6151" max="6151" width="8.5703125" customWidth="1"/>
    <col min="6152" max="6157" width="9.140625" customWidth="1"/>
    <col min="6158" max="6158" width="8.7109375" customWidth="1"/>
    <col min="6159" max="6159" width="8.5703125" customWidth="1"/>
    <col min="6402" max="6402" width="16.42578125" customWidth="1"/>
    <col min="6403" max="6406" width="9.140625" customWidth="1"/>
    <col min="6407" max="6407" width="8.5703125" customWidth="1"/>
    <col min="6408" max="6413" width="9.140625" customWidth="1"/>
    <col min="6414" max="6414" width="8.7109375" customWidth="1"/>
    <col min="6415" max="6415" width="8.5703125" customWidth="1"/>
    <col min="6658" max="6658" width="16.42578125" customWidth="1"/>
    <col min="6659" max="6662" width="9.140625" customWidth="1"/>
    <col min="6663" max="6663" width="8.5703125" customWidth="1"/>
    <col min="6664" max="6669" width="9.140625" customWidth="1"/>
    <col min="6670" max="6670" width="8.7109375" customWidth="1"/>
    <col min="6671" max="6671" width="8.5703125" customWidth="1"/>
    <col min="6914" max="6914" width="16.42578125" customWidth="1"/>
    <col min="6915" max="6918" width="9.140625" customWidth="1"/>
    <col min="6919" max="6919" width="8.5703125" customWidth="1"/>
    <col min="6920" max="6925" width="9.140625" customWidth="1"/>
    <col min="6926" max="6926" width="8.7109375" customWidth="1"/>
    <col min="6927" max="6927" width="8.5703125" customWidth="1"/>
    <col min="7170" max="7170" width="16.42578125" customWidth="1"/>
    <col min="7171" max="7174" width="9.140625" customWidth="1"/>
    <col min="7175" max="7175" width="8.5703125" customWidth="1"/>
    <col min="7176" max="7181" width="9.140625" customWidth="1"/>
    <col min="7182" max="7182" width="8.7109375" customWidth="1"/>
    <col min="7183" max="7183" width="8.5703125" customWidth="1"/>
    <col min="7426" max="7426" width="16.42578125" customWidth="1"/>
    <col min="7427" max="7430" width="9.140625" customWidth="1"/>
    <col min="7431" max="7431" width="8.5703125" customWidth="1"/>
    <col min="7432" max="7437" width="9.140625" customWidth="1"/>
    <col min="7438" max="7438" width="8.7109375" customWidth="1"/>
    <col min="7439" max="7439" width="8.5703125" customWidth="1"/>
    <col min="7682" max="7682" width="16.42578125" customWidth="1"/>
    <col min="7683" max="7686" width="9.140625" customWidth="1"/>
    <col min="7687" max="7687" width="8.5703125" customWidth="1"/>
    <col min="7688" max="7693" width="9.140625" customWidth="1"/>
    <col min="7694" max="7694" width="8.7109375" customWidth="1"/>
    <col min="7695" max="7695" width="8.5703125" customWidth="1"/>
    <col min="7938" max="7938" width="16.42578125" customWidth="1"/>
    <col min="7939" max="7942" width="9.140625" customWidth="1"/>
    <col min="7943" max="7943" width="8.5703125" customWidth="1"/>
    <col min="7944" max="7949" width="9.140625" customWidth="1"/>
    <col min="7950" max="7950" width="8.7109375" customWidth="1"/>
    <col min="7951" max="7951" width="8.5703125" customWidth="1"/>
    <col min="8194" max="8194" width="16.42578125" customWidth="1"/>
    <col min="8195" max="8198" width="9.140625" customWidth="1"/>
    <col min="8199" max="8199" width="8.5703125" customWidth="1"/>
    <col min="8200" max="8205" width="9.140625" customWidth="1"/>
    <col min="8206" max="8206" width="8.7109375" customWidth="1"/>
    <col min="8207" max="8207" width="8.5703125" customWidth="1"/>
    <col min="8450" max="8450" width="16.42578125" customWidth="1"/>
    <col min="8451" max="8454" width="9.140625" customWidth="1"/>
    <col min="8455" max="8455" width="8.5703125" customWidth="1"/>
    <col min="8456" max="8461" width="9.140625" customWidth="1"/>
    <col min="8462" max="8462" width="8.7109375" customWidth="1"/>
    <col min="8463" max="8463" width="8.5703125" customWidth="1"/>
    <col min="8706" max="8706" width="16.42578125" customWidth="1"/>
    <col min="8707" max="8710" width="9.140625" customWidth="1"/>
    <col min="8711" max="8711" width="8.5703125" customWidth="1"/>
    <col min="8712" max="8717" width="9.140625" customWidth="1"/>
    <col min="8718" max="8718" width="8.7109375" customWidth="1"/>
    <col min="8719" max="8719" width="8.5703125" customWidth="1"/>
    <col min="8962" max="8962" width="16.42578125" customWidth="1"/>
    <col min="8963" max="8966" width="9.140625" customWidth="1"/>
    <col min="8967" max="8967" width="8.5703125" customWidth="1"/>
    <col min="8968" max="8973" width="9.140625" customWidth="1"/>
    <col min="8974" max="8974" width="8.7109375" customWidth="1"/>
    <col min="8975" max="8975" width="8.5703125" customWidth="1"/>
    <col min="9218" max="9218" width="16.42578125" customWidth="1"/>
    <col min="9219" max="9222" width="9.140625" customWidth="1"/>
    <col min="9223" max="9223" width="8.5703125" customWidth="1"/>
    <col min="9224" max="9229" width="9.140625" customWidth="1"/>
    <col min="9230" max="9230" width="8.7109375" customWidth="1"/>
    <col min="9231" max="9231" width="8.5703125" customWidth="1"/>
    <col min="9474" max="9474" width="16.42578125" customWidth="1"/>
    <col min="9475" max="9478" width="9.140625" customWidth="1"/>
    <col min="9479" max="9479" width="8.5703125" customWidth="1"/>
    <col min="9480" max="9485" width="9.140625" customWidth="1"/>
    <col min="9486" max="9486" width="8.7109375" customWidth="1"/>
    <col min="9487" max="9487" width="8.5703125" customWidth="1"/>
    <col min="9730" max="9730" width="16.42578125" customWidth="1"/>
    <col min="9731" max="9734" width="9.140625" customWidth="1"/>
    <col min="9735" max="9735" width="8.5703125" customWidth="1"/>
    <col min="9736" max="9741" width="9.140625" customWidth="1"/>
    <col min="9742" max="9742" width="8.7109375" customWidth="1"/>
    <col min="9743" max="9743" width="8.5703125" customWidth="1"/>
    <col min="9986" max="9986" width="16.42578125" customWidth="1"/>
    <col min="9987" max="9990" width="9.140625" customWidth="1"/>
    <col min="9991" max="9991" width="8.5703125" customWidth="1"/>
    <col min="9992" max="9997" width="9.140625" customWidth="1"/>
    <col min="9998" max="9998" width="8.7109375" customWidth="1"/>
    <col min="9999" max="9999" width="8.5703125" customWidth="1"/>
    <col min="10242" max="10242" width="16.42578125" customWidth="1"/>
    <col min="10243" max="10246" width="9.140625" customWidth="1"/>
    <col min="10247" max="10247" width="8.5703125" customWidth="1"/>
    <col min="10248" max="10253" width="9.140625" customWidth="1"/>
    <col min="10254" max="10254" width="8.7109375" customWidth="1"/>
    <col min="10255" max="10255" width="8.5703125" customWidth="1"/>
    <col min="10498" max="10498" width="16.42578125" customWidth="1"/>
    <col min="10499" max="10502" width="9.140625" customWidth="1"/>
    <col min="10503" max="10503" width="8.5703125" customWidth="1"/>
    <col min="10504" max="10509" width="9.140625" customWidth="1"/>
    <col min="10510" max="10510" width="8.7109375" customWidth="1"/>
    <col min="10511" max="10511" width="8.5703125" customWidth="1"/>
    <col min="10754" max="10754" width="16.42578125" customWidth="1"/>
    <col min="10755" max="10758" width="9.140625" customWidth="1"/>
    <col min="10759" max="10759" width="8.5703125" customWidth="1"/>
    <col min="10760" max="10765" width="9.140625" customWidth="1"/>
    <col min="10766" max="10766" width="8.7109375" customWidth="1"/>
    <col min="10767" max="10767" width="8.5703125" customWidth="1"/>
    <col min="11010" max="11010" width="16.42578125" customWidth="1"/>
    <col min="11011" max="11014" width="9.140625" customWidth="1"/>
    <col min="11015" max="11015" width="8.5703125" customWidth="1"/>
    <col min="11016" max="11021" width="9.140625" customWidth="1"/>
    <col min="11022" max="11022" width="8.7109375" customWidth="1"/>
    <col min="11023" max="11023" width="8.5703125" customWidth="1"/>
    <col min="11266" max="11266" width="16.42578125" customWidth="1"/>
    <col min="11267" max="11270" width="9.140625" customWidth="1"/>
    <col min="11271" max="11271" width="8.5703125" customWidth="1"/>
    <col min="11272" max="11277" width="9.140625" customWidth="1"/>
    <col min="11278" max="11278" width="8.7109375" customWidth="1"/>
    <col min="11279" max="11279" width="8.5703125" customWidth="1"/>
    <col min="11522" max="11522" width="16.42578125" customWidth="1"/>
    <col min="11523" max="11526" width="9.140625" customWidth="1"/>
    <col min="11527" max="11527" width="8.5703125" customWidth="1"/>
    <col min="11528" max="11533" width="9.140625" customWidth="1"/>
    <col min="11534" max="11534" width="8.7109375" customWidth="1"/>
    <col min="11535" max="11535" width="8.5703125" customWidth="1"/>
    <col min="11778" max="11778" width="16.42578125" customWidth="1"/>
    <col min="11779" max="11782" width="9.140625" customWidth="1"/>
    <col min="11783" max="11783" width="8.5703125" customWidth="1"/>
    <col min="11784" max="11789" width="9.140625" customWidth="1"/>
    <col min="11790" max="11790" width="8.7109375" customWidth="1"/>
    <col min="11791" max="11791" width="8.5703125" customWidth="1"/>
    <col min="12034" max="12034" width="16.42578125" customWidth="1"/>
    <col min="12035" max="12038" width="9.140625" customWidth="1"/>
    <col min="12039" max="12039" width="8.5703125" customWidth="1"/>
    <col min="12040" max="12045" width="9.140625" customWidth="1"/>
    <col min="12046" max="12046" width="8.7109375" customWidth="1"/>
    <col min="12047" max="12047" width="8.5703125" customWidth="1"/>
    <col min="12290" max="12290" width="16.42578125" customWidth="1"/>
    <col min="12291" max="12294" width="9.140625" customWidth="1"/>
    <col min="12295" max="12295" width="8.5703125" customWidth="1"/>
    <col min="12296" max="12301" width="9.140625" customWidth="1"/>
    <col min="12302" max="12302" width="8.7109375" customWidth="1"/>
    <col min="12303" max="12303" width="8.5703125" customWidth="1"/>
    <col min="12546" max="12546" width="16.42578125" customWidth="1"/>
    <col min="12547" max="12550" width="9.140625" customWidth="1"/>
    <col min="12551" max="12551" width="8.5703125" customWidth="1"/>
    <col min="12552" max="12557" width="9.140625" customWidth="1"/>
    <col min="12558" max="12558" width="8.7109375" customWidth="1"/>
    <col min="12559" max="12559" width="8.5703125" customWidth="1"/>
    <col min="12802" max="12802" width="16.42578125" customWidth="1"/>
    <col min="12803" max="12806" width="9.140625" customWidth="1"/>
    <col min="12807" max="12807" width="8.5703125" customWidth="1"/>
    <col min="12808" max="12813" width="9.140625" customWidth="1"/>
    <col min="12814" max="12814" width="8.7109375" customWidth="1"/>
    <col min="12815" max="12815" width="8.5703125" customWidth="1"/>
    <col min="13058" max="13058" width="16.42578125" customWidth="1"/>
    <col min="13059" max="13062" width="9.140625" customWidth="1"/>
    <col min="13063" max="13063" width="8.5703125" customWidth="1"/>
    <col min="13064" max="13069" width="9.140625" customWidth="1"/>
    <col min="13070" max="13070" width="8.7109375" customWidth="1"/>
    <col min="13071" max="13071" width="8.5703125" customWidth="1"/>
    <col min="13314" max="13314" width="16.42578125" customWidth="1"/>
    <col min="13315" max="13318" width="9.140625" customWidth="1"/>
    <col min="13319" max="13319" width="8.5703125" customWidth="1"/>
    <col min="13320" max="13325" width="9.140625" customWidth="1"/>
    <col min="13326" max="13326" width="8.7109375" customWidth="1"/>
    <col min="13327" max="13327" width="8.5703125" customWidth="1"/>
    <col min="13570" max="13570" width="16.42578125" customWidth="1"/>
    <col min="13571" max="13574" width="9.140625" customWidth="1"/>
    <col min="13575" max="13575" width="8.5703125" customWidth="1"/>
    <col min="13576" max="13581" width="9.140625" customWidth="1"/>
    <col min="13582" max="13582" width="8.7109375" customWidth="1"/>
    <col min="13583" max="13583" width="8.5703125" customWidth="1"/>
    <col min="13826" max="13826" width="16.42578125" customWidth="1"/>
    <col min="13827" max="13830" width="9.140625" customWidth="1"/>
    <col min="13831" max="13831" width="8.5703125" customWidth="1"/>
    <col min="13832" max="13837" width="9.140625" customWidth="1"/>
    <col min="13838" max="13838" width="8.7109375" customWidth="1"/>
    <col min="13839" max="13839" width="8.5703125" customWidth="1"/>
    <col min="14082" max="14082" width="16.42578125" customWidth="1"/>
    <col min="14083" max="14086" width="9.140625" customWidth="1"/>
    <col min="14087" max="14087" width="8.5703125" customWidth="1"/>
    <col min="14088" max="14093" width="9.140625" customWidth="1"/>
    <col min="14094" max="14094" width="8.7109375" customWidth="1"/>
    <col min="14095" max="14095" width="8.5703125" customWidth="1"/>
    <col min="14338" max="14338" width="16.42578125" customWidth="1"/>
    <col min="14339" max="14342" width="9.140625" customWidth="1"/>
    <col min="14343" max="14343" width="8.5703125" customWidth="1"/>
    <col min="14344" max="14349" width="9.140625" customWidth="1"/>
    <col min="14350" max="14350" width="8.7109375" customWidth="1"/>
    <col min="14351" max="14351" width="8.5703125" customWidth="1"/>
    <col min="14594" max="14594" width="16.42578125" customWidth="1"/>
    <col min="14595" max="14598" width="9.140625" customWidth="1"/>
    <col min="14599" max="14599" width="8.5703125" customWidth="1"/>
    <col min="14600" max="14605" width="9.140625" customWidth="1"/>
    <col min="14606" max="14606" width="8.7109375" customWidth="1"/>
    <col min="14607" max="14607" width="8.5703125" customWidth="1"/>
    <col min="14850" max="14850" width="16.42578125" customWidth="1"/>
    <col min="14851" max="14854" width="9.140625" customWidth="1"/>
    <col min="14855" max="14855" width="8.5703125" customWidth="1"/>
    <col min="14856" max="14861" width="9.140625" customWidth="1"/>
    <col min="14862" max="14862" width="8.7109375" customWidth="1"/>
    <col min="14863" max="14863" width="8.5703125" customWidth="1"/>
    <col min="15106" max="15106" width="16.42578125" customWidth="1"/>
    <col min="15107" max="15110" width="9.140625" customWidth="1"/>
    <col min="15111" max="15111" width="8.5703125" customWidth="1"/>
    <col min="15112" max="15117" width="9.140625" customWidth="1"/>
    <col min="15118" max="15118" width="8.7109375" customWidth="1"/>
    <col min="15119" max="15119" width="8.5703125" customWidth="1"/>
    <col min="15362" max="15362" width="16.42578125" customWidth="1"/>
    <col min="15363" max="15366" width="9.140625" customWidth="1"/>
    <col min="15367" max="15367" width="8.5703125" customWidth="1"/>
    <col min="15368" max="15373" width="9.140625" customWidth="1"/>
    <col min="15374" max="15374" width="8.7109375" customWidth="1"/>
    <col min="15375" max="15375" width="8.5703125" customWidth="1"/>
    <col min="15618" max="15618" width="16.42578125" customWidth="1"/>
    <col min="15619" max="15622" width="9.140625" customWidth="1"/>
    <col min="15623" max="15623" width="8.5703125" customWidth="1"/>
    <col min="15624" max="15629" width="9.140625" customWidth="1"/>
    <col min="15630" max="15630" width="8.7109375" customWidth="1"/>
    <col min="15631" max="15631" width="8.5703125" customWidth="1"/>
    <col min="15874" max="15874" width="16.42578125" customWidth="1"/>
    <col min="15875" max="15878" width="9.140625" customWidth="1"/>
    <col min="15879" max="15879" width="8.5703125" customWidth="1"/>
    <col min="15880" max="15885" width="9.140625" customWidth="1"/>
    <col min="15886" max="15886" width="8.7109375" customWidth="1"/>
    <col min="15887" max="15887" width="8.5703125" customWidth="1"/>
    <col min="16130" max="16130" width="16.42578125" customWidth="1"/>
    <col min="16131" max="16134" width="9.140625" customWidth="1"/>
    <col min="16135" max="16135" width="8.5703125" customWidth="1"/>
    <col min="16136" max="16141" width="9.140625" customWidth="1"/>
    <col min="16142" max="16142" width="8.7109375" customWidth="1"/>
    <col min="16143" max="16143" width="8.5703125" customWidth="1"/>
  </cols>
  <sheetData>
    <row r="1" spans="1:21" s="375" customFormat="1" x14ac:dyDescent="0.2">
      <c r="A1" s="372"/>
      <c r="B1" s="373" t="s">
        <v>659</v>
      </c>
      <c r="C1" s="373" t="s">
        <v>660</v>
      </c>
      <c r="D1" s="373" t="s">
        <v>661</v>
      </c>
      <c r="E1" s="374">
        <v>1998</v>
      </c>
      <c r="F1" s="374">
        <v>1999</v>
      </c>
      <c r="G1" s="372">
        <v>2000</v>
      </c>
      <c r="H1" s="372">
        <v>2001</v>
      </c>
      <c r="I1" s="372">
        <v>2002</v>
      </c>
      <c r="J1" s="372">
        <v>2003</v>
      </c>
      <c r="K1" s="372">
        <v>2004</v>
      </c>
      <c r="L1" s="372">
        <v>2005</v>
      </c>
      <c r="M1" s="372">
        <v>2006</v>
      </c>
      <c r="N1" s="372">
        <v>2007</v>
      </c>
      <c r="O1" s="372">
        <v>2008</v>
      </c>
      <c r="P1" s="372">
        <v>2009</v>
      </c>
      <c r="Q1" s="372">
        <v>2010</v>
      </c>
      <c r="R1" s="372">
        <v>2011</v>
      </c>
      <c r="S1" s="372">
        <v>2012</v>
      </c>
      <c r="T1" s="372">
        <v>2013</v>
      </c>
    </row>
    <row r="2" spans="1:21" x14ac:dyDescent="0.2">
      <c r="A2" s="376" t="s">
        <v>662</v>
      </c>
      <c r="B2" s="377"/>
      <c r="C2" s="377"/>
      <c r="D2" s="376"/>
      <c r="E2" s="376"/>
      <c r="F2" s="376"/>
      <c r="G2" s="376"/>
      <c r="H2" s="377"/>
      <c r="I2" s="377"/>
      <c r="J2" s="378">
        <v>99</v>
      </c>
      <c r="K2" s="377">
        <v>287</v>
      </c>
      <c r="L2" s="377">
        <v>262</v>
      </c>
      <c r="M2" s="377">
        <v>487</v>
      </c>
      <c r="N2" s="377">
        <v>352</v>
      </c>
      <c r="O2" s="377">
        <v>374</v>
      </c>
      <c r="P2" s="377">
        <v>267</v>
      </c>
      <c r="Q2" s="377">
        <v>43</v>
      </c>
      <c r="R2" s="377">
        <v>0</v>
      </c>
      <c r="S2" s="377">
        <v>0</v>
      </c>
      <c r="T2" s="377">
        <v>0</v>
      </c>
    </row>
    <row r="3" spans="1:21" x14ac:dyDescent="0.2">
      <c r="A3" s="376" t="s">
        <v>663</v>
      </c>
      <c r="B3" s="377">
        <v>0</v>
      </c>
      <c r="C3" s="377">
        <v>200</v>
      </c>
      <c r="D3" s="376">
        <v>470</v>
      </c>
      <c r="E3" s="376">
        <v>626</v>
      </c>
      <c r="F3" s="377">
        <v>1529</v>
      </c>
      <c r="G3" s="377">
        <v>2994</v>
      </c>
      <c r="H3" s="377">
        <v>3383</v>
      </c>
      <c r="I3" s="377">
        <v>2143</v>
      </c>
      <c r="J3" s="377">
        <v>386</v>
      </c>
      <c r="K3" s="377">
        <v>0</v>
      </c>
      <c r="L3" s="377">
        <v>0</v>
      </c>
      <c r="M3" s="377">
        <v>0</v>
      </c>
      <c r="N3" s="377">
        <v>0</v>
      </c>
      <c r="O3" s="377">
        <v>0</v>
      </c>
      <c r="P3" s="377">
        <v>0</v>
      </c>
      <c r="Q3" s="377">
        <v>0</v>
      </c>
      <c r="R3" s="377">
        <v>0</v>
      </c>
      <c r="S3" s="377">
        <v>0</v>
      </c>
      <c r="T3" s="377">
        <v>0</v>
      </c>
    </row>
    <row r="4" spans="1:21" x14ac:dyDescent="0.2">
      <c r="A4" s="376" t="s">
        <v>664</v>
      </c>
      <c r="B4" s="377">
        <v>2128</v>
      </c>
      <c r="C4" s="377">
        <v>2234</v>
      </c>
      <c r="D4" s="376">
        <v>1556</v>
      </c>
      <c r="E4" s="376">
        <v>1532</v>
      </c>
      <c r="F4" s="377">
        <v>1470</v>
      </c>
      <c r="G4" s="377">
        <v>1324</v>
      </c>
      <c r="H4" s="377">
        <v>992</v>
      </c>
      <c r="I4" s="377">
        <v>880</v>
      </c>
      <c r="J4" s="377">
        <v>941</v>
      </c>
      <c r="K4" s="377">
        <v>819</v>
      </c>
      <c r="L4" s="377">
        <v>1211</v>
      </c>
      <c r="M4" s="377">
        <v>1346</v>
      </c>
      <c r="N4" s="377">
        <v>0</v>
      </c>
      <c r="O4" s="377">
        <v>0</v>
      </c>
      <c r="P4" s="377">
        <v>0</v>
      </c>
      <c r="Q4" s="377">
        <v>0</v>
      </c>
      <c r="R4" s="377">
        <v>0</v>
      </c>
      <c r="S4" s="377">
        <v>0</v>
      </c>
      <c r="T4" s="377">
        <v>0</v>
      </c>
    </row>
    <row r="5" spans="1:21" x14ac:dyDescent="0.2">
      <c r="A5" s="376" t="s">
        <v>665</v>
      </c>
      <c r="B5" s="377">
        <v>3920</v>
      </c>
      <c r="C5" s="377">
        <v>4120</v>
      </c>
      <c r="D5" s="376">
        <v>2912</v>
      </c>
      <c r="E5" s="376">
        <v>2230</v>
      </c>
      <c r="F5" s="377">
        <v>1921</v>
      </c>
      <c r="G5" s="376">
        <v>3955</v>
      </c>
      <c r="H5" s="377">
        <v>2737</v>
      </c>
      <c r="I5" s="377">
        <v>1431</v>
      </c>
      <c r="J5" s="377">
        <v>1631</v>
      </c>
      <c r="K5" s="377">
        <v>1847</v>
      </c>
      <c r="L5" s="377">
        <v>2608</v>
      </c>
      <c r="M5" s="377">
        <v>2442</v>
      </c>
      <c r="N5" s="377">
        <v>2844</v>
      </c>
      <c r="O5" s="377">
        <v>1608</v>
      </c>
      <c r="P5" s="377">
        <v>1495</v>
      </c>
      <c r="Q5" s="377">
        <v>0</v>
      </c>
      <c r="R5" s="377">
        <v>0</v>
      </c>
      <c r="S5" s="377">
        <v>0</v>
      </c>
      <c r="T5" s="377">
        <v>0</v>
      </c>
    </row>
    <row r="6" spans="1:21" x14ac:dyDescent="0.2">
      <c r="A6" s="376" t="s">
        <v>0</v>
      </c>
      <c r="B6" s="377">
        <v>794</v>
      </c>
      <c r="C6" s="377">
        <v>395</v>
      </c>
      <c r="D6" s="376">
        <v>353</v>
      </c>
      <c r="E6" s="376">
        <v>1130</v>
      </c>
      <c r="F6" s="377">
        <v>1501</v>
      </c>
      <c r="G6" s="377">
        <v>1672</v>
      </c>
      <c r="H6" s="377">
        <v>2378</v>
      </c>
      <c r="I6" s="377">
        <v>1737</v>
      </c>
      <c r="J6" s="377">
        <v>1755</v>
      </c>
      <c r="K6" s="377">
        <v>2165</v>
      </c>
      <c r="L6" s="377">
        <v>3181</v>
      </c>
      <c r="M6" s="377">
        <v>3074</v>
      </c>
      <c r="N6" s="377">
        <v>3861</v>
      </c>
      <c r="O6" s="377">
        <v>2836</v>
      </c>
      <c r="P6" s="377">
        <v>1910</v>
      </c>
      <c r="Q6" s="377">
        <v>3060</v>
      </c>
      <c r="R6" s="377">
        <v>2892</v>
      </c>
      <c r="S6" s="377">
        <v>5324</v>
      </c>
      <c r="T6" s="377">
        <v>3947</v>
      </c>
    </row>
    <row r="7" spans="1:21" x14ac:dyDescent="0.2">
      <c r="A7" s="376" t="s">
        <v>1</v>
      </c>
      <c r="B7" s="377">
        <v>5077</v>
      </c>
      <c r="C7" s="377">
        <v>5298</v>
      </c>
      <c r="D7" s="376">
        <v>9329</v>
      </c>
      <c r="E7" s="376">
        <v>11886</v>
      </c>
      <c r="F7" s="377">
        <v>12780</v>
      </c>
      <c r="G7" s="377">
        <v>14000</v>
      </c>
      <c r="H7" s="377">
        <v>9936</v>
      </c>
      <c r="I7" s="377">
        <v>8458</v>
      </c>
      <c r="J7" s="377">
        <v>8659</v>
      </c>
      <c r="K7" s="377">
        <v>11109</v>
      </c>
      <c r="L7" s="377">
        <v>10867</v>
      </c>
      <c r="M7" s="377">
        <v>8400</v>
      </c>
      <c r="N7" s="377">
        <v>12124</v>
      </c>
      <c r="O7" s="377">
        <v>12901</v>
      </c>
      <c r="P7" s="377">
        <v>11085</v>
      </c>
      <c r="Q7" s="377">
        <v>10891</v>
      </c>
      <c r="R7" s="377">
        <v>9156</v>
      </c>
      <c r="S7" s="377">
        <v>6143</v>
      </c>
      <c r="T7" s="377">
        <v>10308</v>
      </c>
    </row>
    <row r="8" spans="1:21" x14ac:dyDescent="0.2">
      <c r="A8" s="376" t="s">
        <v>36</v>
      </c>
      <c r="B8" s="377"/>
      <c r="C8" s="377"/>
      <c r="D8" s="376"/>
      <c r="E8" s="376"/>
      <c r="F8" s="377"/>
      <c r="G8" s="377"/>
      <c r="H8" s="377">
        <v>232</v>
      </c>
      <c r="I8" s="377">
        <v>293</v>
      </c>
      <c r="J8" s="377">
        <v>457</v>
      </c>
      <c r="K8" s="377">
        <v>1237</v>
      </c>
      <c r="L8" s="377">
        <v>1682</v>
      </c>
      <c r="M8" s="377">
        <v>909</v>
      </c>
      <c r="N8" s="377">
        <v>1599</v>
      </c>
      <c r="O8" s="377">
        <v>1305</v>
      </c>
      <c r="P8" s="377">
        <v>1292</v>
      </c>
      <c r="Q8" s="377">
        <v>1649</v>
      </c>
      <c r="R8" s="377">
        <v>1120</v>
      </c>
      <c r="S8" s="377">
        <v>564</v>
      </c>
      <c r="T8" s="377">
        <v>1402</v>
      </c>
    </row>
    <row r="9" spans="1:21" x14ac:dyDescent="0.2">
      <c r="A9" s="376" t="s">
        <v>2</v>
      </c>
      <c r="B9" s="377">
        <v>5535</v>
      </c>
      <c r="C9" s="377">
        <v>5032</v>
      </c>
      <c r="D9" s="376">
        <v>5359</v>
      </c>
      <c r="E9" s="376">
        <v>9368</v>
      </c>
      <c r="F9" s="378">
        <v>10584</v>
      </c>
      <c r="G9" s="376">
        <v>10346</v>
      </c>
      <c r="H9" s="377">
        <v>9345</v>
      </c>
      <c r="I9" s="377">
        <v>14962</v>
      </c>
      <c r="J9" s="377">
        <v>14643</v>
      </c>
      <c r="K9" s="377">
        <v>14990</v>
      </c>
      <c r="L9" s="377">
        <v>16834</v>
      </c>
      <c r="M9" s="377">
        <v>15376</v>
      </c>
      <c r="N9" s="377">
        <v>14752</v>
      </c>
      <c r="O9" s="377">
        <v>14756</v>
      </c>
      <c r="P9" s="377">
        <v>15947</v>
      </c>
      <c r="Q9" s="377">
        <v>26517</v>
      </c>
      <c r="R9" s="377">
        <v>23389</v>
      </c>
      <c r="S9" s="377">
        <v>12261</v>
      </c>
      <c r="T9" s="377">
        <v>17689</v>
      </c>
    </row>
    <row r="10" spans="1:21" x14ac:dyDescent="0.2">
      <c r="A10" s="376" t="s">
        <v>3</v>
      </c>
      <c r="B10" s="377">
        <v>2550</v>
      </c>
      <c r="C10" s="377">
        <v>2213</v>
      </c>
      <c r="D10" s="376">
        <v>1731</v>
      </c>
      <c r="E10" s="376">
        <v>2179</v>
      </c>
      <c r="F10" s="377">
        <v>2655</v>
      </c>
      <c r="G10" s="377">
        <v>3630</v>
      </c>
      <c r="H10" s="377">
        <v>4668</v>
      </c>
      <c r="I10" s="377">
        <v>4981</v>
      </c>
      <c r="J10" s="377">
        <v>5846</v>
      </c>
      <c r="K10" s="377">
        <v>4638</v>
      </c>
      <c r="L10" s="377">
        <v>4960</v>
      </c>
      <c r="M10" s="377">
        <v>7921</v>
      </c>
      <c r="N10" s="377">
        <v>9412</v>
      </c>
      <c r="O10" s="377">
        <v>10433</v>
      </c>
      <c r="P10" s="377">
        <v>10712</v>
      </c>
      <c r="Q10" s="377">
        <v>18232</v>
      </c>
      <c r="R10" s="377">
        <v>15487</v>
      </c>
      <c r="S10" s="377">
        <v>10116</v>
      </c>
      <c r="T10" s="377">
        <v>12274</v>
      </c>
    </row>
    <row r="11" spans="1:21" x14ac:dyDescent="0.2">
      <c r="A11" s="376" t="s">
        <v>666</v>
      </c>
      <c r="B11" s="377">
        <v>10313</v>
      </c>
      <c r="C11" s="377">
        <v>7526</v>
      </c>
      <c r="D11" s="376">
        <v>5870</v>
      </c>
      <c r="E11" s="376">
        <v>3831</v>
      </c>
      <c r="F11" s="377">
        <v>4879</v>
      </c>
      <c r="G11" s="377">
        <v>5252</v>
      </c>
      <c r="H11" s="377">
        <v>5966</v>
      </c>
      <c r="I11" s="377">
        <v>5911</v>
      </c>
      <c r="J11" s="377">
        <v>7518</v>
      </c>
      <c r="K11" s="377">
        <v>11581</v>
      </c>
      <c r="L11" s="377">
        <v>12076</v>
      </c>
      <c r="M11" s="377">
        <v>10921</v>
      </c>
      <c r="N11" s="377">
        <v>11752</v>
      </c>
      <c r="O11" s="377">
        <v>12197</v>
      </c>
      <c r="P11" s="377">
        <v>13557</v>
      </c>
      <c r="Q11" s="377">
        <v>17458</v>
      </c>
      <c r="R11" s="377">
        <v>11776</v>
      </c>
      <c r="S11" s="377">
        <v>8404</v>
      </c>
      <c r="T11" s="377">
        <v>11162</v>
      </c>
    </row>
    <row r="12" spans="1:21" x14ac:dyDescent="0.2">
      <c r="A12" s="376" t="s">
        <v>667</v>
      </c>
      <c r="B12" s="377">
        <v>2627</v>
      </c>
      <c r="C12" s="377">
        <v>2648</v>
      </c>
      <c r="D12" s="376">
        <v>2193</v>
      </c>
      <c r="E12" s="376">
        <v>2228</v>
      </c>
      <c r="F12" s="377">
        <v>2158</v>
      </c>
      <c r="G12" s="377">
        <v>2955</v>
      </c>
      <c r="H12" s="377">
        <v>3518</v>
      </c>
      <c r="I12" s="377">
        <v>4110</v>
      </c>
      <c r="J12" s="377">
        <v>4190</v>
      </c>
      <c r="K12" s="377">
        <v>3772</v>
      </c>
      <c r="L12" s="377">
        <v>3823</v>
      </c>
      <c r="M12" s="377">
        <v>4494</v>
      </c>
      <c r="N12" s="377">
        <v>5361</v>
      </c>
      <c r="O12" s="377">
        <v>4752</v>
      </c>
      <c r="P12" s="377">
        <v>4797</v>
      </c>
      <c r="Q12" s="377">
        <v>8948</v>
      </c>
      <c r="R12" s="377">
        <v>9656</v>
      </c>
      <c r="S12" s="377">
        <v>4993</v>
      </c>
      <c r="T12" s="377">
        <v>7448</v>
      </c>
    </row>
    <row r="13" spans="1:21" x14ac:dyDescent="0.2">
      <c r="A13" s="376" t="s">
        <v>4</v>
      </c>
      <c r="B13" s="377">
        <v>361</v>
      </c>
      <c r="C13" s="377">
        <v>3030</v>
      </c>
      <c r="D13" s="376">
        <v>4962</v>
      </c>
      <c r="E13" s="376">
        <v>4768</v>
      </c>
      <c r="F13" s="376">
        <v>4191</v>
      </c>
      <c r="G13" s="376">
        <v>3955</v>
      </c>
      <c r="H13" s="377">
        <v>6137</v>
      </c>
      <c r="I13" s="377">
        <v>4991</v>
      </c>
      <c r="J13" s="377">
        <v>4200</v>
      </c>
      <c r="K13" s="377">
        <v>3024</v>
      </c>
      <c r="L13" s="377">
        <v>2606</v>
      </c>
      <c r="M13" s="377">
        <v>2273</v>
      </c>
      <c r="N13" s="377">
        <v>3804</v>
      </c>
      <c r="O13" s="377">
        <v>3720</v>
      </c>
      <c r="P13" s="377">
        <v>2840</v>
      </c>
      <c r="Q13" s="377">
        <v>1388</v>
      </c>
      <c r="R13" s="377">
        <v>180</v>
      </c>
      <c r="S13" s="377">
        <v>255</v>
      </c>
      <c r="T13" s="377">
        <v>1362</v>
      </c>
    </row>
    <row r="14" spans="1:21" x14ac:dyDescent="0.2">
      <c r="A14" s="376" t="s">
        <v>96</v>
      </c>
      <c r="B14" s="377"/>
      <c r="C14" s="377"/>
      <c r="D14" s="376"/>
      <c r="E14" s="376"/>
      <c r="F14" s="376"/>
      <c r="G14" s="376"/>
      <c r="H14" s="377"/>
      <c r="I14" s="377"/>
      <c r="J14" s="378"/>
      <c r="K14" s="377"/>
      <c r="L14" s="377"/>
      <c r="M14" s="377">
        <v>443</v>
      </c>
      <c r="N14">
        <v>1614</v>
      </c>
      <c r="O14" s="377">
        <v>2157</v>
      </c>
      <c r="P14" s="377">
        <v>1251</v>
      </c>
      <c r="Q14" s="377">
        <v>1389</v>
      </c>
      <c r="R14" s="377">
        <v>67</v>
      </c>
      <c r="S14" s="377">
        <v>17</v>
      </c>
      <c r="T14" s="377">
        <v>166</v>
      </c>
    </row>
    <row r="15" spans="1:21" ht="13.5" thickBot="1" x14ac:dyDescent="0.25">
      <c r="A15" s="376" t="s">
        <v>668</v>
      </c>
      <c r="B15" s="377">
        <f>B24+B25</f>
        <v>608</v>
      </c>
      <c r="C15" s="377">
        <f>C24+C25</f>
        <v>256</v>
      </c>
      <c r="D15" s="376">
        <v>0</v>
      </c>
      <c r="E15" s="378">
        <v>0</v>
      </c>
      <c r="F15" s="377">
        <v>0</v>
      </c>
      <c r="G15" s="379">
        <v>0</v>
      </c>
      <c r="H15" s="377">
        <v>0</v>
      </c>
      <c r="I15" s="377">
        <v>0</v>
      </c>
      <c r="J15" s="377">
        <v>124</v>
      </c>
      <c r="K15" s="377">
        <f>66+581</f>
        <v>647</v>
      </c>
      <c r="L15" s="377">
        <f>53+415</f>
        <v>468</v>
      </c>
      <c r="M15" s="377">
        <v>309</v>
      </c>
      <c r="N15" s="377">
        <f>181+56</f>
        <v>237</v>
      </c>
      <c r="O15">
        <v>489</v>
      </c>
      <c r="P15">
        <v>216</v>
      </c>
      <c r="Q15" s="377">
        <v>0</v>
      </c>
      <c r="R15" s="377">
        <v>0</v>
      </c>
      <c r="S15" s="377">
        <v>0</v>
      </c>
      <c r="T15" s="377">
        <v>0</v>
      </c>
      <c r="U15" s="377">
        <v>65758</v>
      </c>
    </row>
    <row r="16" spans="1:21" x14ac:dyDescent="0.2">
      <c r="A16" s="380" t="s">
        <v>669</v>
      </c>
      <c r="B16" s="380">
        <v>33913</v>
      </c>
      <c r="C16" s="380">
        <v>32952</v>
      </c>
      <c r="D16" s="380">
        <v>34735</v>
      </c>
      <c r="E16" s="380">
        <f>SUM(E2:E15)</f>
        <v>39778</v>
      </c>
      <c r="F16" s="380">
        <f>SUM(F2:F15)</f>
        <v>43668</v>
      </c>
      <c r="G16" s="380">
        <f>SUM(G2:G15)</f>
        <v>50083</v>
      </c>
      <c r="H16" s="380">
        <f>SUM(H2:H10)</f>
        <v>33671</v>
      </c>
      <c r="I16" s="380">
        <f>SUM(I2:I10)</f>
        <v>34885</v>
      </c>
      <c r="J16" s="380">
        <f t="shared" ref="J16:T16" si="0">SUM(J2:J15)</f>
        <v>50449</v>
      </c>
      <c r="K16" s="380">
        <f t="shared" si="0"/>
        <v>56116</v>
      </c>
      <c r="L16" s="380">
        <f t="shared" si="0"/>
        <v>60578</v>
      </c>
      <c r="M16" s="380">
        <f t="shared" si="0"/>
        <v>58395</v>
      </c>
      <c r="N16" s="380">
        <f t="shared" si="0"/>
        <v>67712</v>
      </c>
      <c r="O16" s="380">
        <f t="shared" si="0"/>
        <v>67528</v>
      </c>
      <c r="P16" s="380">
        <f t="shared" si="0"/>
        <v>65369</v>
      </c>
      <c r="Q16" s="380">
        <f t="shared" si="0"/>
        <v>89575</v>
      </c>
      <c r="R16" s="380">
        <f t="shared" si="0"/>
        <v>73723</v>
      </c>
      <c r="S16" s="380">
        <f t="shared" si="0"/>
        <v>48077</v>
      </c>
      <c r="T16" s="380">
        <f t="shared" si="0"/>
        <v>65758</v>
      </c>
    </row>
    <row r="17" spans="1:20" x14ac:dyDescent="0.2">
      <c r="A17" s="395" t="s">
        <v>690</v>
      </c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</row>
    <row r="18" spans="1:20" s="11" customFormat="1" x14ac:dyDescent="0.2">
      <c r="A18" s="377" t="s">
        <v>670</v>
      </c>
      <c r="B18" s="378"/>
      <c r="C18" s="377"/>
      <c r="D18" s="377"/>
      <c r="E18" s="377"/>
      <c r="F18" s="377"/>
      <c r="G18" s="377"/>
      <c r="H18" s="377"/>
      <c r="I18" s="377"/>
      <c r="Q18" s="381" t="s">
        <v>671</v>
      </c>
      <c r="R18" s="382"/>
      <c r="S18" s="382"/>
      <c r="T18" s="382"/>
    </row>
    <row r="19" spans="1:20" s="11" customFormat="1" x14ac:dyDescent="0.2">
      <c r="A19" s="377"/>
      <c r="B19" s="378"/>
      <c r="C19" s="377"/>
      <c r="D19" s="377"/>
      <c r="E19" s="377"/>
      <c r="F19" s="377"/>
      <c r="G19" s="377"/>
      <c r="H19" s="377"/>
      <c r="I19" s="377"/>
      <c r="Q19" s="381" t="s">
        <v>672</v>
      </c>
      <c r="R19" s="382"/>
      <c r="S19" s="382"/>
      <c r="T19" s="382"/>
    </row>
    <row r="20" spans="1:20" s="11" customFormat="1" x14ac:dyDescent="0.2">
      <c r="A20" s="377"/>
      <c r="B20" s="378"/>
      <c r="C20" s="377"/>
      <c r="D20" s="377"/>
      <c r="E20" s="377"/>
      <c r="F20" s="377"/>
      <c r="G20" s="377"/>
      <c r="H20" s="377"/>
      <c r="I20" s="377"/>
      <c r="Q20" s="382"/>
      <c r="R20" s="381" t="s">
        <v>673</v>
      </c>
      <c r="S20" s="382"/>
      <c r="T20" s="382"/>
    </row>
    <row r="21" spans="1:20" s="11" customFormat="1" x14ac:dyDescent="0.2">
      <c r="A21" s="377"/>
      <c r="B21" s="378"/>
      <c r="C21" s="377"/>
      <c r="D21" s="377"/>
      <c r="E21" s="377"/>
      <c r="F21" s="377"/>
      <c r="G21" s="377"/>
      <c r="H21" s="377"/>
      <c r="I21" s="377"/>
      <c r="Q21" s="382"/>
      <c r="R21" s="382"/>
      <c r="S21" s="381" t="s">
        <v>674</v>
      </c>
      <c r="T21" s="381"/>
    </row>
    <row r="22" spans="1:20" s="279" customFormat="1" ht="13.5" thickBot="1" x14ac:dyDescent="0.25">
      <c r="A22" s="377" t="s">
        <v>726</v>
      </c>
      <c r="B22" s="378"/>
      <c r="C22" s="377"/>
      <c r="D22" s="377"/>
      <c r="E22" s="377"/>
      <c r="F22" s="377"/>
      <c r="G22" s="377"/>
      <c r="H22" s="377">
        <v>70000</v>
      </c>
      <c r="I22" s="377"/>
      <c r="Q22" s="511"/>
      <c r="R22" s="377">
        <v>140000</v>
      </c>
      <c r="S22" s="377">
        <v>144000</v>
      </c>
      <c r="T22" s="381"/>
    </row>
    <row r="23" spans="1:20" s="11" customFormat="1" x14ac:dyDescent="0.2">
      <c r="A23" s="383" t="s">
        <v>675</v>
      </c>
      <c r="B23" s="384"/>
      <c r="C23" s="384"/>
      <c r="D23" s="384"/>
      <c r="E23" s="384"/>
      <c r="F23" s="384"/>
      <c r="G23" s="384"/>
      <c r="H23" s="384"/>
      <c r="I23" s="384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</row>
    <row r="24" spans="1:20" s="11" customFormat="1" x14ac:dyDescent="0.2">
      <c r="A24" s="386" t="s">
        <v>676</v>
      </c>
      <c r="B24" s="378">
        <v>232</v>
      </c>
      <c r="C24" s="378">
        <v>208</v>
      </c>
      <c r="D24" s="378"/>
      <c r="E24" s="378"/>
      <c r="F24" s="378"/>
      <c r="G24" s="378"/>
      <c r="H24" s="378"/>
      <c r="I24" s="378"/>
      <c r="J24" s="6"/>
      <c r="K24" s="6"/>
      <c r="L24" s="6"/>
      <c r="M24" s="6"/>
      <c r="N24" s="6"/>
    </row>
    <row r="25" spans="1:20" s="11" customFormat="1" x14ac:dyDescent="0.2">
      <c r="A25" s="387" t="s">
        <v>677</v>
      </c>
      <c r="B25" s="378">
        <v>376</v>
      </c>
      <c r="C25" s="378">
        <v>48</v>
      </c>
      <c r="D25" s="378"/>
      <c r="E25" s="378"/>
      <c r="F25" s="378"/>
      <c r="G25" s="378"/>
      <c r="H25" s="378"/>
      <c r="I25" s="378"/>
      <c r="J25" s="6"/>
      <c r="K25" s="6"/>
      <c r="L25" s="6"/>
      <c r="M25" s="6"/>
      <c r="N25" s="6"/>
    </row>
    <row r="26" spans="1:20" s="11" customFormat="1" x14ac:dyDescent="0.2">
      <c r="A26" s="387" t="s">
        <v>678</v>
      </c>
      <c r="B26" s="378"/>
      <c r="C26" s="378"/>
      <c r="D26" s="378"/>
      <c r="E26" s="378"/>
      <c r="F26" s="378"/>
      <c r="G26" s="378"/>
      <c r="H26" s="378"/>
      <c r="I26" s="378"/>
      <c r="J26" s="6"/>
      <c r="K26" s="377">
        <v>66</v>
      </c>
      <c r="L26" s="377">
        <v>53</v>
      </c>
      <c r="M26" s="6"/>
      <c r="N26" s="6"/>
    </row>
    <row r="27" spans="1:20" s="11" customFormat="1" x14ac:dyDescent="0.2">
      <c r="A27" s="376" t="s">
        <v>679</v>
      </c>
      <c r="B27" s="377"/>
      <c r="C27" s="377"/>
      <c r="D27" s="376"/>
      <c r="E27" s="376"/>
      <c r="F27" s="376"/>
      <c r="G27" s="376"/>
      <c r="H27" s="377"/>
      <c r="I27" s="377"/>
      <c r="J27" s="377">
        <v>124</v>
      </c>
      <c r="K27" s="377">
        <v>581</v>
      </c>
      <c r="L27" s="377">
        <v>415</v>
      </c>
      <c r="M27" s="377">
        <v>309</v>
      </c>
      <c r="N27" s="377">
        <v>56</v>
      </c>
    </row>
    <row r="28" spans="1:20" s="377" customFormat="1" ht="13.5" thickBot="1" x14ac:dyDescent="0.25">
      <c r="A28" s="388" t="s">
        <v>680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>
        <v>181</v>
      </c>
      <c r="O28" s="388">
        <v>489</v>
      </c>
      <c r="P28" s="388">
        <v>216</v>
      </c>
      <c r="Q28" s="388"/>
      <c r="R28" s="388"/>
      <c r="S28" s="388"/>
      <c r="T28" s="388"/>
    </row>
    <row r="29" spans="1:20" s="377" customFormat="1" x14ac:dyDescent="0.2"/>
    <row r="30" spans="1:20" s="377" customFormat="1" x14ac:dyDescent="0.2">
      <c r="A30" s="377" t="s">
        <v>681</v>
      </c>
      <c r="F30" s="377">
        <v>190.5</v>
      </c>
      <c r="G30" s="377">
        <v>225</v>
      </c>
      <c r="H30" s="377">
        <v>213.9</v>
      </c>
      <c r="I30" s="377">
        <v>230.4</v>
      </c>
      <c r="J30" s="377">
        <v>232.9</v>
      </c>
      <c r="K30" s="377">
        <v>259.60000000000002</v>
      </c>
      <c r="L30" s="377">
        <v>284</v>
      </c>
      <c r="M30" s="377">
        <v>277</v>
      </c>
      <c r="N30" s="377">
        <v>325</v>
      </c>
      <c r="O30" s="377">
        <v>327</v>
      </c>
      <c r="P30" s="377">
        <v>314</v>
      </c>
      <c r="Q30" s="377">
        <v>383</v>
      </c>
      <c r="R30" s="377">
        <v>299</v>
      </c>
      <c r="S30" s="377">
        <v>190</v>
      </c>
      <c r="T30" s="377">
        <v>261</v>
      </c>
    </row>
    <row r="31" spans="1:20" s="377" customFormat="1" x14ac:dyDescent="0.2">
      <c r="A31" s="377" t="s">
        <v>682</v>
      </c>
      <c r="F31" s="389">
        <v>190.5</v>
      </c>
      <c r="G31" s="389">
        <v>225</v>
      </c>
      <c r="H31" s="389">
        <v>213.9</v>
      </c>
      <c r="I31" s="389">
        <v>230.4</v>
      </c>
      <c r="J31" s="389">
        <v>232.9</v>
      </c>
      <c r="K31" s="389">
        <v>259.60000000000002</v>
      </c>
      <c r="L31" s="377">
        <v>264</v>
      </c>
      <c r="M31" s="377">
        <v>256</v>
      </c>
      <c r="N31" s="377">
        <v>303</v>
      </c>
      <c r="O31" s="377">
        <v>321</v>
      </c>
      <c r="P31" s="377">
        <v>312.58</v>
      </c>
      <c r="Q31" s="377">
        <v>370</v>
      </c>
      <c r="R31" s="377">
        <v>289</v>
      </c>
      <c r="S31" s="377">
        <v>176</v>
      </c>
      <c r="T31" s="377">
        <v>252</v>
      </c>
    </row>
    <row r="32" spans="1:20" s="377" customFormat="1" x14ac:dyDescent="0.2">
      <c r="A32" s="377" t="s">
        <v>683</v>
      </c>
      <c r="C32" s="377" t="s">
        <v>684</v>
      </c>
      <c r="F32" s="377">
        <f t="shared" ref="F32:T32" si="1">F30/F16*1000000</f>
        <v>4362.4622148942017</v>
      </c>
      <c r="G32" s="377">
        <f t="shared" si="1"/>
        <v>4492.5423796497817</v>
      </c>
      <c r="H32" s="377">
        <f t="shared" si="1"/>
        <v>6352.647679011613</v>
      </c>
      <c r="I32" s="377">
        <f t="shared" si="1"/>
        <v>6604.5578328794609</v>
      </c>
      <c r="J32" s="377">
        <f t="shared" si="1"/>
        <v>4616.5434399096121</v>
      </c>
      <c r="K32" s="377">
        <f t="shared" si="1"/>
        <v>4626.1315845748095</v>
      </c>
      <c r="L32" s="377">
        <f t="shared" si="1"/>
        <v>4688.1706229984484</v>
      </c>
      <c r="M32" s="377">
        <f t="shared" si="1"/>
        <v>4743.5568113708359</v>
      </c>
      <c r="N32" s="377">
        <f t="shared" si="1"/>
        <v>4799.740075614367</v>
      </c>
      <c r="O32" s="377">
        <f t="shared" si="1"/>
        <v>4842.4357303637007</v>
      </c>
      <c r="P32" s="377">
        <f t="shared" si="1"/>
        <v>4803.5001300310541</v>
      </c>
      <c r="Q32" s="377">
        <f t="shared" si="1"/>
        <v>4275.7465810773101</v>
      </c>
      <c r="R32" s="377">
        <f t="shared" si="1"/>
        <v>4055.7220948686299</v>
      </c>
      <c r="S32" s="377">
        <f t="shared" si="1"/>
        <v>3951.9936768101174</v>
      </c>
      <c r="T32" s="377">
        <f t="shared" si="1"/>
        <v>3969.0988168739927</v>
      </c>
    </row>
    <row r="33" spans="1:20" s="377" customFormat="1" x14ac:dyDescent="0.2">
      <c r="S33" s="377" t="s">
        <v>687</v>
      </c>
    </row>
    <row r="34" spans="1:20" s="377" customFormat="1" x14ac:dyDescent="0.2">
      <c r="A34" s="377" t="s">
        <v>685</v>
      </c>
      <c r="M34" s="390">
        <v>0.65900000000000003</v>
      </c>
      <c r="N34" s="390">
        <v>0.70099999999999996</v>
      </c>
      <c r="O34" s="390">
        <v>0.73499999999999999</v>
      </c>
      <c r="P34" s="390">
        <v>0.75600000000000001</v>
      </c>
      <c r="Q34" s="390">
        <v>0.82399999999999995</v>
      </c>
      <c r="R34" s="390">
        <v>0.81475251956648531</v>
      </c>
      <c r="S34" s="390">
        <v>0.82844187449300077</v>
      </c>
      <c r="T34" s="390">
        <v>0.81499999999999995</v>
      </c>
    </row>
    <row r="35" spans="1:20" s="377" customFormat="1" x14ac:dyDescent="0.2">
      <c r="A35" s="377" t="s">
        <v>686</v>
      </c>
      <c r="M35" s="391"/>
      <c r="N35" s="391">
        <v>1.7999999999999999E-2</v>
      </c>
      <c r="O35" s="390">
        <v>0.14000000000000001</v>
      </c>
      <c r="P35" s="390">
        <v>0.19900000000000001</v>
      </c>
      <c r="Q35" s="390">
        <v>0.28999999999999998</v>
      </c>
      <c r="R35" s="390">
        <v>0.31393188014595175</v>
      </c>
      <c r="S35" s="390">
        <v>0.3772281964348857</v>
      </c>
      <c r="T35" s="390">
        <v>0.45</v>
      </c>
    </row>
    <row r="36" spans="1:20" s="377" customFormat="1" x14ac:dyDescent="0.2"/>
    <row r="37" spans="1:20" s="377" customFormat="1" x14ac:dyDescent="0.2"/>
    <row r="38" spans="1:20" s="392" customFormat="1" x14ac:dyDescent="0.2">
      <c r="B38" s="393"/>
      <c r="C38" s="393"/>
    </row>
    <row r="39" spans="1:20" s="392" customFormat="1" x14ac:dyDescent="0.2">
      <c r="B39" s="393"/>
      <c r="C39" s="393"/>
    </row>
    <row r="40" spans="1:20" s="392" customFormat="1" x14ac:dyDescent="0.2">
      <c r="B40" s="393"/>
      <c r="C40" s="393"/>
    </row>
    <row r="41" spans="1:20" s="392" customFormat="1" x14ac:dyDescent="0.2">
      <c r="B41" s="393"/>
      <c r="C41" s="393"/>
    </row>
    <row r="42" spans="1:20" s="392" customFormat="1" x14ac:dyDescent="0.2">
      <c r="B42" s="393"/>
      <c r="C42" s="393"/>
    </row>
    <row r="43" spans="1:20" s="392" customFormat="1" x14ac:dyDescent="0.2">
      <c r="B43" s="393"/>
      <c r="C43" s="393"/>
    </row>
    <row r="44" spans="1:20" s="392" customFormat="1" x14ac:dyDescent="0.2">
      <c r="B44" s="393"/>
      <c r="C44" s="393"/>
    </row>
    <row r="45" spans="1:20" s="392" customFormat="1" x14ac:dyDescent="0.2">
      <c r="B45" s="393"/>
      <c r="C45" s="393"/>
    </row>
    <row r="46" spans="1:20" s="392" customFormat="1" x14ac:dyDescent="0.2">
      <c r="B46" s="393"/>
      <c r="C46" s="393"/>
    </row>
    <row r="47" spans="1:20" s="392" customFormat="1" x14ac:dyDescent="0.2">
      <c r="B47" s="393"/>
      <c r="C47" s="393"/>
    </row>
    <row r="48" spans="1:20" s="392" customFormat="1" x14ac:dyDescent="0.2">
      <c r="B48" s="393"/>
      <c r="C48" s="393"/>
    </row>
    <row r="49" spans="2:3" s="392" customFormat="1" x14ac:dyDescent="0.2">
      <c r="B49" s="393"/>
      <c r="C49" s="393"/>
    </row>
    <row r="50" spans="2:3" s="392" customFormat="1" x14ac:dyDescent="0.2">
      <c r="B50" s="393"/>
      <c r="C50" s="393"/>
    </row>
    <row r="51" spans="2:3" s="392" customFormat="1" x14ac:dyDescent="0.2">
      <c r="B51" s="393"/>
      <c r="C51" s="393"/>
    </row>
    <row r="52" spans="2:3" s="392" customFormat="1" x14ac:dyDescent="0.2">
      <c r="B52" s="393"/>
      <c r="C52" s="393"/>
    </row>
    <row r="53" spans="2:3" s="392" customFormat="1" x14ac:dyDescent="0.2">
      <c r="B53" s="393"/>
      <c r="C53" s="393"/>
    </row>
    <row r="54" spans="2:3" s="392" customFormat="1" x14ac:dyDescent="0.2">
      <c r="B54" s="393"/>
      <c r="C54" s="393"/>
    </row>
    <row r="55" spans="2:3" s="392" customFormat="1" x14ac:dyDescent="0.2">
      <c r="B55" s="393"/>
      <c r="C55" s="393"/>
    </row>
    <row r="56" spans="2:3" s="392" customFormat="1" x14ac:dyDescent="0.2">
      <c r="B56" s="393"/>
      <c r="C56" s="393"/>
    </row>
    <row r="57" spans="2:3" s="392" customFormat="1" x14ac:dyDescent="0.2">
      <c r="B57" s="393"/>
      <c r="C57" s="393"/>
    </row>
    <row r="58" spans="2:3" s="392" customFormat="1" x14ac:dyDescent="0.2">
      <c r="B58" s="393"/>
      <c r="C58" s="393"/>
    </row>
    <row r="59" spans="2:3" s="392" customFormat="1" x14ac:dyDescent="0.2">
      <c r="B59" s="393"/>
      <c r="C59" s="393"/>
    </row>
    <row r="60" spans="2:3" s="392" customFormat="1" x14ac:dyDescent="0.2">
      <c r="B60" s="393"/>
      <c r="C60" s="393"/>
    </row>
    <row r="61" spans="2:3" s="392" customFormat="1" x14ac:dyDescent="0.2">
      <c r="B61" s="393"/>
      <c r="C61" s="393"/>
    </row>
    <row r="62" spans="2:3" s="392" customFormat="1" x14ac:dyDescent="0.2">
      <c r="B62" s="393"/>
      <c r="C62" s="393"/>
    </row>
    <row r="63" spans="2:3" s="392" customFormat="1" x14ac:dyDescent="0.2">
      <c r="B63" s="393"/>
      <c r="C63" s="393"/>
    </row>
    <row r="64" spans="2:3" s="392" customFormat="1" x14ac:dyDescent="0.2">
      <c r="B64" s="393"/>
      <c r="C64" s="393"/>
    </row>
    <row r="65" spans="2:3" s="392" customFormat="1" x14ac:dyDescent="0.2">
      <c r="B65" s="393"/>
      <c r="C65" s="393"/>
    </row>
    <row r="66" spans="2:3" s="392" customFormat="1" x14ac:dyDescent="0.2">
      <c r="B66" s="393"/>
      <c r="C66" s="393"/>
    </row>
    <row r="67" spans="2:3" s="392" customFormat="1" x14ac:dyDescent="0.2">
      <c r="B67" s="393"/>
      <c r="C67" s="393"/>
    </row>
    <row r="68" spans="2:3" s="392" customFormat="1" x14ac:dyDescent="0.2">
      <c r="B68" s="393"/>
      <c r="C68" s="393"/>
    </row>
    <row r="69" spans="2:3" s="392" customFormat="1" x14ac:dyDescent="0.2">
      <c r="B69" s="393"/>
      <c r="C69" s="393"/>
    </row>
    <row r="70" spans="2:3" s="392" customFormat="1" x14ac:dyDescent="0.2">
      <c r="B70" s="393"/>
      <c r="C70" s="393"/>
    </row>
    <row r="71" spans="2:3" s="392" customFormat="1" x14ac:dyDescent="0.2">
      <c r="B71" s="393"/>
      <c r="C71" s="393"/>
    </row>
    <row r="72" spans="2:3" s="392" customFormat="1" x14ac:dyDescent="0.2">
      <c r="B72" s="393"/>
      <c r="C72" s="393"/>
    </row>
    <row r="73" spans="2:3" s="392" customFormat="1" x14ac:dyDescent="0.2">
      <c r="B73" s="393"/>
      <c r="C73" s="393"/>
    </row>
    <row r="74" spans="2:3" s="392" customFormat="1" x14ac:dyDescent="0.2">
      <c r="B74" s="393"/>
      <c r="C74" s="393"/>
    </row>
    <row r="75" spans="2:3" s="392" customFormat="1" x14ac:dyDescent="0.2">
      <c r="B75" s="393"/>
      <c r="C75" s="393"/>
    </row>
    <row r="76" spans="2:3" s="392" customFormat="1" x14ac:dyDescent="0.2">
      <c r="B76" s="393"/>
      <c r="C76" s="393"/>
    </row>
    <row r="77" spans="2:3" s="392" customFormat="1" x14ac:dyDescent="0.2">
      <c r="B77" s="393"/>
      <c r="C77" s="393"/>
    </row>
    <row r="78" spans="2:3" s="392" customFormat="1" x14ac:dyDescent="0.2">
      <c r="B78" s="393"/>
      <c r="C78" s="393"/>
    </row>
    <row r="79" spans="2:3" s="392" customFormat="1" x14ac:dyDescent="0.2">
      <c r="B79" s="393"/>
      <c r="C79" s="393"/>
    </row>
    <row r="80" spans="2:3" s="392" customFormat="1" x14ac:dyDescent="0.2">
      <c r="B80" s="393"/>
      <c r="C80" s="393"/>
    </row>
    <row r="81" spans="1:3" s="392" customFormat="1" x14ac:dyDescent="0.2">
      <c r="B81" s="393"/>
      <c r="C81" s="393"/>
    </row>
    <row r="82" spans="1:3" s="392" customFormat="1" x14ac:dyDescent="0.2">
      <c r="B82" s="393"/>
      <c r="C82" s="393"/>
    </row>
    <row r="83" spans="1:3" s="392" customFormat="1" x14ac:dyDescent="0.2">
      <c r="B83" s="393"/>
      <c r="C83" s="393"/>
    </row>
    <row r="84" spans="1:3" s="392" customFormat="1" x14ac:dyDescent="0.2">
      <c r="A84" s="393"/>
      <c r="B84" s="393"/>
      <c r="C84" s="393"/>
    </row>
    <row r="85" spans="1:3" s="392" customFormat="1" x14ac:dyDescent="0.2">
      <c r="B85" s="393"/>
      <c r="C85" s="393"/>
    </row>
    <row r="86" spans="1:3" s="392" customFormat="1" x14ac:dyDescent="0.2">
      <c r="B86" s="393"/>
      <c r="C86" s="393"/>
    </row>
    <row r="87" spans="1:3" s="392" customFormat="1" x14ac:dyDescent="0.2">
      <c r="B87" s="393"/>
      <c r="C87" s="393"/>
    </row>
    <row r="88" spans="1:3" s="392" customFormat="1" x14ac:dyDescent="0.2">
      <c r="B88" s="393"/>
      <c r="C88" s="393"/>
    </row>
    <row r="89" spans="1:3" s="392" customFormat="1" x14ac:dyDescent="0.2">
      <c r="B89" s="393"/>
      <c r="C89" s="393"/>
    </row>
    <row r="90" spans="1:3" s="392" customFormat="1" x14ac:dyDescent="0.2">
      <c r="B90" s="393"/>
      <c r="C90" s="393"/>
    </row>
    <row r="91" spans="1:3" s="392" customFormat="1" x14ac:dyDescent="0.2">
      <c r="B91" s="393"/>
      <c r="C91" s="393"/>
    </row>
    <row r="92" spans="1:3" s="392" customFormat="1" x14ac:dyDescent="0.2">
      <c r="B92" s="393"/>
      <c r="C92" s="393"/>
    </row>
    <row r="93" spans="1:3" s="392" customFormat="1" x14ac:dyDescent="0.2">
      <c r="B93" s="393"/>
      <c r="C93" s="393"/>
    </row>
    <row r="94" spans="1:3" s="392" customFormat="1" x14ac:dyDescent="0.2">
      <c r="B94" s="393"/>
      <c r="C94" s="393"/>
    </row>
    <row r="95" spans="1:3" s="392" customFormat="1" x14ac:dyDescent="0.2">
      <c r="B95" s="393"/>
      <c r="C95" s="393"/>
    </row>
    <row r="96" spans="1:3" s="392" customFormat="1" x14ac:dyDescent="0.2">
      <c r="B96" s="393"/>
      <c r="C96" s="393"/>
    </row>
    <row r="97" spans="1:12" s="392" customFormat="1" x14ac:dyDescent="0.2">
      <c r="B97" s="393"/>
      <c r="C97" s="393"/>
    </row>
    <row r="98" spans="1:12" s="392" customFormat="1" x14ac:dyDescent="0.2">
      <c r="B98" s="393"/>
      <c r="C98" s="393"/>
    </row>
    <row r="99" spans="1:12" s="392" customFormat="1" x14ac:dyDescent="0.2">
      <c r="B99" s="393"/>
      <c r="C99" s="393"/>
    </row>
    <row r="100" spans="1:12" s="392" customFormat="1" x14ac:dyDescent="0.2">
      <c r="B100" s="393"/>
      <c r="C100" s="393"/>
    </row>
    <row r="101" spans="1:12" s="392" customFormat="1" x14ac:dyDescent="0.2">
      <c r="B101" s="393"/>
      <c r="C101" s="393"/>
    </row>
    <row r="102" spans="1:12" s="392" customFormat="1" x14ac:dyDescent="0.2">
      <c r="B102" s="393"/>
      <c r="C102" s="393"/>
    </row>
    <row r="103" spans="1:12" s="392" customFormat="1" x14ac:dyDescent="0.2">
      <c r="B103" s="393"/>
      <c r="C103" s="393"/>
    </row>
    <row r="104" spans="1:12" s="392" customFormat="1" x14ac:dyDescent="0.2">
      <c r="B104" s="393"/>
      <c r="C104" s="393"/>
    </row>
    <row r="105" spans="1:12" s="392" customFormat="1" x14ac:dyDescent="0.2">
      <c r="B105" s="393"/>
      <c r="C105" s="393"/>
    </row>
    <row r="106" spans="1:12" s="392" customFormat="1" x14ac:dyDescent="0.2">
      <c r="B106" s="393"/>
      <c r="C106" s="393"/>
    </row>
    <row r="107" spans="1:12" s="392" customFormat="1" x14ac:dyDescent="0.2">
      <c r="B107" s="393"/>
      <c r="C107" s="393"/>
    </row>
    <row r="108" spans="1:12" s="392" customFormat="1" x14ac:dyDescent="0.2">
      <c r="B108" s="393"/>
      <c r="C108" s="393"/>
    </row>
    <row r="109" spans="1:12" s="392" customFormat="1" x14ac:dyDescent="0.2">
      <c r="B109" s="393"/>
      <c r="C109" s="393"/>
    </row>
    <row r="110" spans="1:12" x14ac:dyDescent="0.2">
      <c r="A110" s="392"/>
      <c r="B110" s="392"/>
      <c r="C110" s="392"/>
      <c r="D110" s="392"/>
      <c r="E110" s="392"/>
      <c r="F110" s="392"/>
      <c r="G110" s="392"/>
      <c r="H110" s="392"/>
      <c r="I110" s="392"/>
      <c r="J110" s="392"/>
      <c r="K110" s="392"/>
      <c r="L110" s="392"/>
    </row>
    <row r="111" spans="1:12" x14ac:dyDescent="0.2">
      <c r="A111" s="392"/>
      <c r="B111" s="392"/>
      <c r="C111" s="392"/>
      <c r="D111" s="392"/>
      <c r="E111" s="392"/>
      <c r="F111" s="392"/>
      <c r="G111" s="392"/>
      <c r="H111" s="392"/>
      <c r="I111" s="392"/>
      <c r="J111" s="392"/>
      <c r="K111" s="392"/>
      <c r="L111" s="392"/>
    </row>
    <row r="112" spans="1:12" x14ac:dyDescent="0.2">
      <c r="A112" s="392"/>
      <c r="B112" s="392"/>
      <c r="C112" s="392"/>
      <c r="D112" s="392"/>
      <c r="E112" s="392"/>
      <c r="F112" s="392"/>
      <c r="G112" s="392"/>
      <c r="H112" s="392"/>
      <c r="I112" s="392"/>
      <c r="J112" s="392"/>
      <c r="K112" s="392"/>
      <c r="L112" s="392"/>
    </row>
    <row r="113" spans="1:12" x14ac:dyDescent="0.2">
      <c r="A113" s="392"/>
      <c r="B113" s="392"/>
      <c r="C113" s="392"/>
      <c r="D113" s="392"/>
      <c r="E113" s="392"/>
      <c r="F113" s="392"/>
      <c r="G113" s="392"/>
      <c r="H113" s="392"/>
      <c r="I113" s="392"/>
      <c r="J113" s="392"/>
      <c r="K113" s="392"/>
      <c r="L113" s="392"/>
    </row>
    <row r="114" spans="1:12" x14ac:dyDescent="0.2">
      <c r="A114" s="392"/>
      <c r="B114" s="392"/>
      <c r="C114" s="392"/>
      <c r="D114" s="392"/>
      <c r="E114" s="392"/>
      <c r="F114" s="392"/>
      <c r="G114" s="392"/>
      <c r="H114" s="392"/>
      <c r="I114" s="392"/>
      <c r="J114" s="392"/>
      <c r="K114" s="392"/>
      <c r="L114" s="392"/>
    </row>
    <row r="115" spans="1:12" x14ac:dyDescent="0.2">
      <c r="A115" s="392"/>
      <c r="B115" s="392"/>
      <c r="C115" s="392"/>
      <c r="D115" s="392"/>
      <c r="E115" s="392"/>
      <c r="F115" s="392"/>
      <c r="G115" s="392"/>
      <c r="H115" s="392"/>
      <c r="I115" s="392"/>
      <c r="J115" s="392"/>
      <c r="K115" s="392"/>
      <c r="L115" s="392"/>
    </row>
    <row r="116" spans="1:12" x14ac:dyDescent="0.2">
      <c r="A116" s="392"/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2"/>
    </row>
    <row r="117" spans="1:12" x14ac:dyDescent="0.2">
      <c r="A117" s="392"/>
      <c r="B117" s="392"/>
      <c r="C117" s="392"/>
      <c r="D117" s="392"/>
      <c r="E117" s="392"/>
      <c r="F117" s="392"/>
      <c r="G117" s="392"/>
      <c r="H117" s="392"/>
      <c r="I117" s="392"/>
      <c r="J117" s="392"/>
      <c r="K117" s="392"/>
      <c r="L117" s="392"/>
    </row>
    <row r="118" spans="1:12" x14ac:dyDescent="0.2">
      <c r="A118" s="392"/>
      <c r="B118" s="392"/>
      <c r="C118" s="392"/>
      <c r="D118" s="392"/>
      <c r="E118" s="392"/>
      <c r="F118" s="392"/>
      <c r="G118" s="392"/>
      <c r="H118" s="392"/>
      <c r="I118" s="392"/>
      <c r="J118" s="392"/>
      <c r="K118" s="392"/>
      <c r="L118" s="392"/>
    </row>
    <row r="119" spans="1:12" x14ac:dyDescent="0.2">
      <c r="A119" s="392"/>
      <c r="B119" s="392"/>
      <c r="C119" s="392"/>
      <c r="D119" s="392"/>
      <c r="E119" s="392"/>
      <c r="F119" s="392"/>
      <c r="G119" s="392"/>
      <c r="H119" s="392"/>
      <c r="I119" s="392"/>
      <c r="J119" s="392"/>
      <c r="K119" s="392"/>
      <c r="L119" s="392"/>
    </row>
    <row r="120" spans="1:12" x14ac:dyDescent="0.2">
      <c r="A120" s="39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</row>
    <row r="121" spans="1:12" x14ac:dyDescent="0.2">
      <c r="A121" s="392"/>
      <c r="B121" s="392"/>
      <c r="C121" s="392"/>
      <c r="D121" s="392"/>
      <c r="E121" s="392"/>
      <c r="F121" s="392"/>
      <c r="G121" s="392"/>
      <c r="H121" s="392"/>
      <c r="I121" s="392"/>
      <c r="J121" s="392"/>
      <c r="K121" s="392"/>
      <c r="L121" s="392"/>
    </row>
    <row r="122" spans="1:12" x14ac:dyDescent="0.2">
      <c r="A122" s="392"/>
      <c r="B122" s="392"/>
      <c r="C122" s="392"/>
      <c r="D122" s="392"/>
      <c r="E122" s="392"/>
      <c r="F122" s="392"/>
      <c r="G122" s="392"/>
      <c r="H122" s="392"/>
      <c r="I122" s="392"/>
      <c r="J122" s="392"/>
      <c r="K122" s="392"/>
      <c r="L122" s="392"/>
    </row>
    <row r="123" spans="1:12" x14ac:dyDescent="0.2">
      <c r="A123" s="392"/>
      <c r="B123" s="392"/>
      <c r="C123" s="392"/>
      <c r="D123" s="392"/>
      <c r="E123" s="392"/>
      <c r="F123" s="392"/>
      <c r="G123" s="392"/>
      <c r="H123" s="392"/>
      <c r="I123" s="392"/>
      <c r="J123" s="392"/>
      <c r="K123" s="392"/>
      <c r="L123" s="392"/>
    </row>
    <row r="124" spans="1:12" x14ac:dyDescent="0.2">
      <c r="A124" s="392"/>
      <c r="B124" s="392"/>
      <c r="C124" s="392"/>
      <c r="D124" s="392"/>
      <c r="E124" s="392"/>
      <c r="F124" s="392"/>
      <c r="G124" s="392"/>
      <c r="H124" s="392"/>
      <c r="I124" s="392"/>
      <c r="J124" s="392"/>
      <c r="K124" s="392"/>
      <c r="L124" s="392"/>
    </row>
    <row r="125" spans="1:12" x14ac:dyDescent="0.2">
      <c r="A125" s="392"/>
      <c r="B125" s="392"/>
      <c r="C125" s="392"/>
      <c r="D125" s="392"/>
      <c r="E125" s="392"/>
      <c r="F125" s="392"/>
      <c r="G125" s="392"/>
      <c r="H125" s="392"/>
      <c r="I125" s="392"/>
      <c r="J125" s="392"/>
      <c r="K125" s="392"/>
      <c r="L125" s="392"/>
    </row>
    <row r="126" spans="1:12" x14ac:dyDescent="0.2">
      <c r="A126" s="392"/>
      <c r="B126" s="392"/>
      <c r="C126" s="392"/>
      <c r="D126" s="392"/>
      <c r="E126" s="392"/>
      <c r="F126" s="392"/>
      <c r="G126" s="392"/>
      <c r="H126" s="392"/>
      <c r="I126" s="392"/>
      <c r="J126" s="392"/>
      <c r="K126" s="392"/>
      <c r="L126" s="392"/>
    </row>
    <row r="127" spans="1:12" x14ac:dyDescent="0.2">
      <c r="A127" s="392"/>
      <c r="B127" s="392"/>
      <c r="C127" s="392"/>
      <c r="D127" s="392"/>
      <c r="E127" s="392"/>
      <c r="F127" s="392"/>
      <c r="G127" s="392"/>
      <c r="H127" s="392"/>
      <c r="I127" s="392"/>
      <c r="J127" s="392"/>
      <c r="K127" s="392"/>
      <c r="L127" s="392"/>
    </row>
    <row r="128" spans="1:12" x14ac:dyDescent="0.2">
      <c r="A128" s="392"/>
      <c r="B128" s="392"/>
      <c r="C128" s="392"/>
      <c r="D128" s="392"/>
      <c r="E128" s="392"/>
      <c r="F128" s="392"/>
      <c r="G128" s="392"/>
      <c r="H128" s="392"/>
      <c r="I128" s="392"/>
      <c r="J128" s="392"/>
      <c r="K128" s="392"/>
      <c r="L128" s="392"/>
    </row>
    <row r="129" spans="1:12" x14ac:dyDescent="0.2">
      <c r="A129" s="392"/>
      <c r="B129" s="392"/>
      <c r="C129" s="392"/>
      <c r="D129" s="392"/>
      <c r="E129" s="392"/>
      <c r="F129" s="392"/>
      <c r="G129" s="392"/>
      <c r="H129" s="392"/>
      <c r="I129" s="392"/>
      <c r="J129" s="392"/>
      <c r="K129" s="392"/>
      <c r="L129" s="392"/>
    </row>
    <row r="130" spans="1:12" x14ac:dyDescent="0.2">
      <c r="A130" s="392"/>
      <c r="B130" s="392"/>
      <c r="C130" s="392"/>
      <c r="D130" s="392"/>
      <c r="E130" s="392"/>
      <c r="F130" s="392"/>
      <c r="G130" s="392"/>
      <c r="H130" s="392"/>
      <c r="I130" s="392"/>
      <c r="J130" s="392"/>
      <c r="K130" s="392"/>
      <c r="L130" s="392"/>
    </row>
    <row r="131" spans="1:12" x14ac:dyDescent="0.2">
      <c r="A131" s="392"/>
      <c r="B131" s="392"/>
      <c r="C131" s="392"/>
      <c r="D131" s="392"/>
      <c r="E131" s="392"/>
      <c r="F131" s="392"/>
      <c r="G131" s="392"/>
      <c r="H131" s="392"/>
      <c r="I131" s="392"/>
      <c r="J131" s="392"/>
      <c r="K131" s="392"/>
      <c r="L131" s="392"/>
    </row>
    <row r="132" spans="1:12" x14ac:dyDescent="0.2">
      <c r="A132" s="392"/>
      <c r="B132" s="392"/>
      <c r="C132" s="392"/>
      <c r="D132" s="392"/>
      <c r="E132" s="392"/>
      <c r="F132" s="392"/>
      <c r="G132" s="392"/>
      <c r="H132" s="392"/>
      <c r="I132" s="392"/>
      <c r="J132" s="392"/>
      <c r="K132" s="392"/>
      <c r="L132" s="392"/>
    </row>
    <row r="133" spans="1:12" x14ac:dyDescent="0.2">
      <c r="A133" s="392"/>
      <c r="B133" s="392"/>
      <c r="C133" s="392"/>
      <c r="D133" s="392"/>
      <c r="E133" s="392"/>
      <c r="F133" s="392"/>
      <c r="G133" s="392"/>
      <c r="H133" s="392"/>
      <c r="I133" s="392"/>
      <c r="J133" s="392"/>
      <c r="K133" s="392"/>
      <c r="L133" s="392"/>
    </row>
    <row r="134" spans="1:12" x14ac:dyDescent="0.2">
      <c r="A134" s="392"/>
      <c r="B134" s="392"/>
      <c r="C134" s="392"/>
      <c r="D134" s="392"/>
      <c r="E134" s="392"/>
      <c r="F134" s="392"/>
      <c r="G134" s="392"/>
      <c r="H134" s="392"/>
      <c r="I134" s="392"/>
      <c r="J134" s="392"/>
      <c r="K134" s="392"/>
      <c r="L134" s="392"/>
    </row>
    <row r="135" spans="1:12" x14ac:dyDescent="0.2">
      <c r="A135" s="392"/>
      <c r="B135" s="392"/>
      <c r="C135" s="392"/>
      <c r="D135" s="392"/>
      <c r="E135" s="392"/>
      <c r="F135" s="392"/>
      <c r="G135" s="392"/>
      <c r="H135" s="392"/>
      <c r="I135" s="392"/>
      <c r="J135" s="392"/>
      <c r="K135" s="392"/>
      <c r="L135" s="392"/>
    </row>
    <row r="136" spans="1:12" x14ac:dyDescent="0.2">
      <c r="A136" s="392"/>
      <c r="B136" s="392"/>
      <c r="C136" s="392"/>
      <c r="D136" s="392"/>
      <c r="E136" s="392"/>
      <c r="F136" s="392"/>
      <c r="G136" s="392"/>
      <c r="H136" s="392"/>
      <c r="I136" s="392"/>
      <c r="J136" s="392"/>
      <c r="K136" s="392"/>
      <c r="L136" s="392"/>
    </row>
    <row r="137" spans="1:12" x14ac:dyDescent="0.2">
      <c r="A137" s="393"/>
    </row>
  </sheetData>
  <pageMargins left="0.78740157480314965" right="0.78740157480314965" top="0.98425196850393704" bottom="0.98425196850393704" header="0.51181102362204722" footer="0.51181102362204722"/>
  <pageSetup paperSize="9" scale="77" fitToHeight="3" orientation="landscape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D30" sqref="D30"/>
    </sheetView>
  </sheetViews>
  <sheetFormatPr baseColWidth="10" defaultRowHeight="12.75" x14ac:dyDescent="0.2"/>
  <cols>
    <col min="1" max="1" width="25.7109375" bestFit="1" customWidth="1"/>
    <col min="2" max="2" width="11.5703125" customWidth="1"/>
    <col min="3" max="3" width="15.85546875" customWidth="1"/>
    <col min="4" max="4" width="14.5703125" bestFit="1" customWidth="1"/>
    <col min="5" max="5" width="36.28515625" bestFit="1" customWidth="1"/>
  </cols>
  <sheetData>
    <row r="1" spans="1:6" ht="25.5" x14ac:dyDescent="0.2">
      <c r="A1" s="505" t="s">
        <v>576</v>
      </c>
      <c r="B1" s="500" t="s">
        <v>702</v>
      </c>
      <c r="C1" s="503" t="s">
        <v>702</v>
      </c>
      <c r="D1" s="503" t="s">
        <v>703</v>
      </c>
      <c r="E1" s="504" t="s">
        <v>707</v>
      </c>
    </row>
    <row r="2" spans="1:6" x14ac:dyDescent="0.2">
      <c r="B2" s="11" t="s">
        <v>695</v>
      </c>
      <c r="C2" s="279" t="s">
        <v>708</v>
      </c>
      <c r="D2" s="279" t="s">
        <v>708</v>
      </c>
    </row>
    <row r="3" spans="1:6" x14ac:dyDescent="0.2">
      <c r="A3" s="279" t="s">
        <v>691</v>
      </c>
      <c r="B3" s="501">
        <f>Høreapparater!$W$416</f>
        <v>254414359</v>
      </c>
      <c r="C3" s="150">
        <f>B3*1.25</f>
        <v>318017948.75</v>
      </c>
      <c r="D3" s="150">
        <v>296090230</v>
      </c>
      <c r="E3" s="279" t="s">
        <v>705</v>
      </c>
    </row>
    <row r="4" spans="1:6" x14ac:dyDescent="0.2">
      <c r="A4" s="279" t="s">
        <v>712</v>
      </c>
      <c r="B4" s="501"/>
      <c r="C4" s="150"/>
      <c r="D4" s="150">
        <v>7800000</v>
      </c>
      <c r="E4" s="279" t="s">
        <v>713</v>
      </c>
    </row>
    <row r="5" spans="1:6" x14ac:dyDescent="0.2">
      <c r="A5" s="508" t="s">
        <v>565</v>
      </c>
      <c r="B5" s="509">
        <f>Tinnitusmaskerere!$W$20</f>
        <v>4903093</v>
      </c>
      <c r="C5" s="510">
        <f t="shared" ref="C5:C10" si="0">B5*1.25</f>
        <v>6128866.25</v>
      </c>
      <c r="D5" s="510">
        <v>130641</v>
      </c>
      <c r="E5" s="279" t="s">
        <v>709</v>
      </c>
    </row>
    <row r="6" spans="1:6" x14ac:dyDescent="0.2">
      <c r="A6" s="279" t="s">
        <v>724</v>
      </c>
      <c r="B6" s="501">
        <f>SUM(B3:B5)</f>
        <v>259317452</v>
      </c>
      <c r="C6" s="150">
        <f>SUM(C3:C5)</f>
        <v>324146815</v>
      </c>
      <c r="D6" s="150">
        <f>SUM(D3:D5)</f>
        <v>304020871</v>
      </c>
      <c r="E6" s="279"/>
      <c r="F6" s="150">
        <f>D6+C9+C10</f>
        <v>320444732.25</v>
      </c>
    </row>
    <row r="7" spans="1:6" x14ac:dyDescent="0.2">
      <c r="A7" s="279" t="s">
        <v>693</v>
      </c>
      <c r="B7" s="501">
        <f>Reparasjoner!$AA$80</f>
        <v>24323582</v>
      </c>
      <c r="C7" s="150">
        <f t="shared" si="0"/>
        <v>30404477.5</v>
      </c>
      <c r="D7" s="150">
        <v>57546607</v>
      </c>
      <c r="E7" s="279" t="s">
        <v>706</v>
      </c>
    </row>
    <row r="8" spans="1:6" x14ac:dyDescent="0.2">
      <c r="A8" s="279" t="s">
        <v>704</v>
      </c>
      <c r="B8" s="501"/>
      <c r="C8" s="150"/>
      <c r="D8" s="150">
        <v>2119933</v>
      </c>
    </row>
    <row r="9" spans="1:6" x14ac:dyDescent="0.2">
      <c r="A9" s="279" t="s">
        <v>132</v>
      </c>
      <c r="B9" s="501">
        <f>Propper!$BT$27</f>
        <v>3237135</v>
      </c>
      <c r="C9" s="150">
        <f t="shared" si="0"/>
        <v>4046418.75</v>
      </c>
      <c r="D9" s="150"/>
      <c r="E9" s="279" t="s">
        <v>721</v>
      </c>
    </row>
    <row r="10" spans="1:6" x14ac:dyDescent="0.2">
      <c r="A10" s="279" t="s">
        <v>692</v>
      </c>
      <c r="B10" s="501">
        <v>9901954</v>
      </c>
      <c r="C10" s="150">
        <f t="shared" si="0"/>
        <v>12377442.5</v>
      </c>
      <c r="D10" s="150"/>
      <c r="E10" s="279" t="s">
        <v>721</v>
      </c>
    </row>
    <row r="11" spans="1:6" x14ac:dyDescent="0.2">
      <c r="A11" s="279" t="s">
        <v>694</v>
      </c>
      <c r="B11" s="11"/>
      <c r="C11" s="150"/>
      <c r="E11" s="279" t="s">
        <v>721</v>
      </c>
    </row>
    <row r="12" spans="1:6" ht="13.5" thickBot="1" x14ac:dyDescent="0.25">
      <c r="A12" s="498" t="s">
        <v>5</v>
      </c>
      <c r="B12" s="502">
        <f>SUM(B6:B11)</f>
        <v>296780123</v>
      </c>
      <c r="C12" s="499">
        <f>SUM(C6:C11)</f>
        <v>370975153.75</v>
      </c>
      <c r="D12" s="499">
        <f>SUM(D6:D11)</f>
        <v>363687411</v>
      </c>
      <c r="E12" s="279" t="s">
        <v>725</v>
      </c>
    </row>
    <row r="13" spans="1:6" ht="13.5" thickTop="1" x14ac:dyDescent="0.2">
      <c r="A13" s="215"/>
      <c r="B13" s="497"/>
      <c r="C13" s="497"/>
      <c r="D13" s="497"/>
      <c r="E13" s="279"/>
    </row>
    <row r="14" spans="1:6" x14ac:dyDescent="0.2">
      <c r="B14" s="150"/>
      <c r="C14" s="150"/>
      <c r="D14" s="150"/>
      <c r="E14" s="279"/>
    </row>
    <row r="15" spans="1:6" x14ac:dyDescent="0.2">
      <c r="A15" s="279" t="s">
        <v>714</v>
      </c>
      <c r="D15" s="150">
        <v>355887411</v>
      </c>
    </row>
    <row r="16" spans="1:6" x14ac:dyDescent="0.2">
      <c r="A16" s="279"/>
      <c r="D16" s="150"/>
    </row>
    <row r="17" spans="1:7" x14ac:dyDescent="0.2">
      <c r="A17" s="279"/>
      <c r="D17" s="150"/>
    </row>
    <row r="19" spans="1:7" x14ac:dyDescent="0.2">
      <c r="A19" s="279" t="s">
        <v>715</v>
      </c>
    </row>
    <row r="20" spans="1:7" x14ac:dyDescent="0.2">
      <c r="A20" s="279" t="s">
        <v>716</v>
      </c>
    </row>
    <row r="21" spans="1:7" x14ac:dyDescent="0.2">
      <c r="A21" s="279" t="s">
        <v>717</v>
      </c>
    </row>
    <row r="22" spans="1:7" x14ac:dyDescent="0.2">
      <c r="A22" s="279"/>
    </row>
    <row r="23" spans="1:7" x14ac:dyDescent="0.2">
      <c r="A23" s="279"/>
    </row>
    <row r="24" spans="1:7" x14ac:dyDescent="0.2">
      <c r="A24" s="279" t="s">
        <v>714</v>
      </c>
      <c r="D24" s="150">
        <v>355887411</v>
      </c>
    </row>
    <row r="25" spans="1:7" x14ac:dyDescent="0.2">
      <c r="A25" s="279" t="s">
        <v>722</v>
      </c>
      <c r="D25" s="150">
        <v>42800000</v>
      </c>
    </row>
    <row r="26" spans="1:7" x14ac:dyDescent="0.2">
      <c r="A26" s="279" t="s">
        <v>718</v>
      </c>
      <c r="D26" s="150">
        <v>-7800000</v>
      </c>
    </row>
    <row r="27" spans="1:7" x14ac:dyDescent="0.2">
      <c r="A27" s="279" t="s">
        <v>719</v>
      </c>
      <c r="D27" s="150"/>
      <c r="E27" s="507">
        <f>D25+D26</f>
        <v>35000000</v>
      </c>
      <c r="F27" s="150">
        <f>E27/1.25</f>
        <v>28000000</v>
      </c>
      <c r="G27" s="11" t="s">
        <v>695</v>
      </c>
    </row>
    <row r="28" spans="1:7" ht="13.5" thickBot="1" x14ac:dyDescent="0.25">
      <c r="A28" s="498" t="s">
        <v>720</v>
      </c>
      <c r="B28" s="502"/>
      <c r="C28" s="499"/>
      <c r="D28" s="499">
        <f>SUM(D24:D27)</f>
        <v>390887411</v>
      </c>
      <c r="E28" s="150"/>
      <c r="F28" s="150">
        <f>D28/1.25</f>
        <v>312709928.80000001</v>
      </c>
      <c r="G28" s="11" t="s">
        <v>695</v>
      </c>
    </row>
    <row r="29" spans="1:7" ht="13.5" thickTop="1" x14ac:dyDescent="0.2">
      <c r="D29" s="150"/>
      <c r="E29" s="150"/>
    </row>
    <row r="30" spans="1:7" x14ac:dyDescent="0.2">
      <c r="D30" s="150"/>
    </row>
    <row r="31" spans="1:7" ht="15" x14ac:dyDescent="0.2">
      <c r="D31" s="150"/>
      <c r="E31" s="506" t="s">
        <v>723</v>
      </c>
    </row>
    <row r="32" spans="1:7" ht="15" x14ac:dyDescent="0.2">
      <c r="E32" s="506" t="s">
        <v>710</v>
      </c>
    </row>
    <row r="33" spans="5:5" ht="15" x14ac:dyDescent="0.2">
      <c r="E33" s="506" t="s">
        <v>711</v>
      </c>
    </row>
    <row r="34" spans="5:5" ht="15" x14ac:dyDescent="0.2">
      <c r="E34" s="50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30</vt:i4>
      </vt:variant>
    </vt:vector>
  </HeadingPairs>
  <TitlesOfParts>
    <vt:vector size="36" baseType="lpstr">
      <vt:lpstr>Høreapparater</vt:lpstr>
      <vt:lpstr>Tinnitusmaskerere</vt:lpstr>
      <vt:lpstr>Reparasjoner</vt:lpstr>
      <vt:lpstr>Propper</vt:lpstr>
      <vt:lpstr>HA 95-13</vt:lpstr>
      <vt:lpstr>Sum kostnader</vt:lpstr>
      <vt:lpstr>Høreapparater!_1.kvartal</vt:lpstr>
      <vt:lpstr>Tinnitusmaskerere!_1.kvartal</vt:lpstr>
      <vt:lpstr>Høreapparater!_2.kvartal</vt:lpstr>
      <vt:lpstr>Tinnitusmaskerere!_2.kvartal</vt:lpstr>
      <vt:lpstr>Høreapparater!_3.kvartal</vt:lpstr>
      <vt:lpstr>Tinnitusmaskerere!_3.kvartal</vt:lpstr>
      <vt:lpstr>Høreapparater!_4.kvartal</vt:lpstr>
      <vt:lpstr>Tinnitusmaskerere!_4.kvartal</vt:lpstr>
      <vt:lpstr>Høreapparater!Imp</vt:lpstr>
      <vt:lpstr>Tinnitusmaskerere!Imp</vt:lpstr>
      <vt:lpstr>Høreapparater!Modell</vt:lpstr>
      <vt:lpstr>Tinnitusmaskerere!Modell</vt:lpstr>
      <vt:lpstr>Høreapparater!Print_Title</vt:lpstr>
      <vt:lpstr>Tinnitusmaskerere!Print_Title</vt:lpstr>
      <vt:lpstr>Høreapparater!prisgrense</vt:lpstr>
      <vt:lpstr>Tinnitusmaskerere!prisgrense</vt:lpstr>
      <vt:lpstr>PrisgrenseTM</vt:lpstr>
      <vt:lpstr>Høreapparater!Prod</vt:lpstr>
      <vt:lpstr>Tinnitusmaskerere!Prod</vt:lpstr>
      <vt:lpstr>Høreapparater!Sum</vt:lpstr>
      <vt:lpstr>Tinnitusmaskerere!Sum</vt:lpstr>
      <vt:lpstr>Høreapparater!Total</vt:lpstr>
      <vt:lpstr>Tinnitusmaskerere!Total</vt:lpstr>
      <vt:lpstr>Høreapparater!Type</vt:lpstr>
      <vt:lpstr>Tinnitusmaskerere!Type</vt:lpstr>
      <vt:lpstr>Høreapparater!Utskriftsområde</vt:lpstr>
      <vt:lpstr>Reparasjoner!Utskriftsområde</vt:lpstr>
      <vt:lpstr>Tinnitusmaskerere!Utskriftsområde</vt:lpstr>
      <vt:lpstr>Høreapparater!Utskriftstitler</vt:lpstr>
      <vt:lpstr>Tinnitusmaskerere!Utskriftstitler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Høreapparater betalt av NAV</dc:title>
  <dc:subject>leverte høreapparater til RTV</dc:subject>
  <dc:creator>Oddbjørn Arntsen</dc:creator>
  <cp:lastModifiedBy>Arntsen, Oddbjørn</cp:lastModifiedBy>
  <cp:lastPrinted>2014-01-31T07:32:57Z</cp:lastPrinted>
  <dcterms:created xsi:type="dcterms:W3CDTF">2001-01-03T21:29:05Z</dcterms:created>
  <dcterms:modified xsi:type="dcterms:W3CDTF">2014-07-29T13:18:32Z</dcterms:modified>
</cp:coreProperties>
</file>